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firstSheet="1" activeTab="1"/>
  </bookViews>
  <sheets>
    <sheet name="Sheet1" sheetId="1" r:id="rId1"/>
    <sheet name="ANEXA 3" sheetId="2" r:id="rId2"/>
    <sheet name="OBS STRAZI LIPSA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8" i="2" l="1"/>
  <c r="H14" i="2"/>
  <c r="H15" i="2"/>
  <c r="H16" i="2"/>
  <c r="H17" i="2"/>
  <c r="H18" i="2"/>
  <c r="H30" i="2"/>
  <c r="H32" i="2"/>
  <c r="H35" i="2"/>
  <c r="H36" i="2"/>
  <c r="H38" i="2"/>
  <c r="H40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6" i="2"/>
  <c r="H57" i="2"/>
  <c r="H58" i="2"/>
  <c r="H59" i="2"/>
  <c r="H60" i="2"/>
  <c r="H61" i="2"/>
  <c r="H62" i="2"/>
  <c r="H64" i="2"/>
  <c r="H66" i="2"/>
  <c r="H67" i="2"/>
  <c r="H68" i="2"/>
  <c r="H69" i="2"/>
  <c r="H70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8" i="2"/>
  <c r="H90" i="2"/>
  <c r="H91" i="2"/>
  <c r="H92" i="2"/>
  <c r="L99" i="2" l="1"/>
  <c r="I14" i="2"/>
  <c r="I15" i="2"/>
  <c r="I16" i="2"/>
  <c r="I17" i="2"/>
  <c r="I18" i="2"/>
  <c r="I30" i="2"/>
  <c r="I32" i="2"/>
  <c r="I35" i="2"/>
  <c r="I36" i="2"/>
  <c r="I38" i="2"/>
  <c r="I40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6" i="2"/>
  <c r="I57" i="2"/>
  <c r="I58" i="2"/>
  <c r="I59" i="2"/>
  <c r="I60" i="2"/>
  <c r="I61" i="2"/>
  <c r="I62" i="2"/>
  <c r="I64" i="2"/>
  <c r="I66" i="2"/>
  <c r="I67" i="2"/>
  <c r="I68" i="2"/>
  <c r="I69" i="2"/>
  <c r="I70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8" i="2"/>
  <c r="I90" i="2"/>
  <c r="I91" i="2"/>
  <c r="I92" i="2"/>
  <c r="L100" i="2" l="1"/>
  <c r="N107" i="2" s="1"/>
  <c r="L101" i="2"/>
  <c r="L102" i="2"/>
  <c r="L103" i="2"/>
  <c r="L104" i="2"/>
  <c r="L105" i="2"/>
  <c r="L106" i="2"/>
  <c r="L107" i="2"/>
  <c r="I106" i="2" l="1"/>
  <c r="E104" i="2"/>
  <c r="E101" i="2"/>
  <c r="E100" i="2"/>
  <c r="G92" i="2" l="1"/>
  <c r="G91" i="2"/>
  <c r="G90" i="2"/>
  <c r="G88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4" i="2"/>
  <c r="G53" i="2"/>
  <c r="G52" i="2"/>
  <c r="G51" i="2"/>
  <c r="G50" i="2"/>
  <c r="G49" i="2"/>
  <c r="G48" i="2"/>
  <c r="G47" i="2"/>
  <c r="G46" i="2"/>
  <c r="E86" i="2"/>
  <c r="E85" i="2"/>
  <c r="E84" i="2"/>
  <c r="E83" i="2"/>
  <c r="E82" i="2"/>
  <c r="E81" i="2"/>
  <c r="E79" i="2" l="1"/>
  <c r="E78" i="2"/>
  <c r="E77" i="2"/>
  <c r="E76" i="2"/>
  <c r="E75" i="2"/>
  <c r="E74" i="2"/>
  <c r="E73" i="2"/>
  <c r="E72" i="2"/>
  <c r="E70" i="2"/>
  <c r="E69" i="2"/>
  <c r="E68" i="2"/>
  <c r="E67" i="2"/>
  <c r="E66" i="2"/>
  <c r="E64" i="2"/>
  <c r="E62" i="2"/>
  <c r="E61" i="2"/>
  <c r="E60" i="2"/>
  <c r="E59" i="2"/>
  <c r="E58" i="2"/>
  <c r="E57" i="2"/>
  <c r="E56" i="2"/>
  <c r="E54" i="2"/>
  <c r="E53" i="2"/>
  <c r="E52" i="2"/>
  <c r="E51" i="2"/>
  <c r="E50" i="2"/>
  <c r="E49" i="2"/>
  <c r="E48" i="2"/>
  <c r="E47" i="2"/>
  <c r="E46" i="2"/>
  <c r="G45" i="2"/>
  <c r="G44" i="2"/>
  <c r="G43" i="2"/>
  <c r="G42" i="2"/>
  <c r="G40" i="2"/>
  <c r="G38" i="2"/>
  <c r="G36" i="2"/>
  <c r="G35" i="2"/>
  <c r="G33" i="2"/>
  <c r="G32" i="2"/>
  <c r="E45" i="2"/>
  <c r="E44" i="2"/>
  <c r="E43" i="2"/>
  <c r="E42" i="2"/>
  <c r="E40" i="2"/>
  <c r="E38" i="2"/>
  <c r="E36" i="2"/>
  <c r="E35" i="2"/>
  <c r="E32" i="2"/>
  <c r="G30" i="2"/>
  <c r="G29" i="2"/>
  <c r="E30" i="2"/>
  <c r="G23" i="2"/>
  <c r="G18" i="2"/>
  <c r="G17" i="2"/>
  <c r="E18" i="2"/>
  <c r="E17" i="2"/>
  <c r="G16" i="2"/>
  <c r="G15" i="2"/>
  <c r="G14" i="2"/>
  <c r="E16" i="2"/>
  <c r="E15" i="2"/>
  <c r="E14" i="2"/>
  <c r="E10" i="2"/>
  <c r="G9" i="2"/>
  <c r="G8" i="2"/>
  <c r="F89" i="2"/>
  <c r="G89" i="2" s="1"/>
  <c r="D89" i="2"/>
  <c r="H89" i="2" s="1"/>
  <c r="I89" i="2" s="1"/>
  <c r="F87" i="2"/>
  <c r="G87" i="2" s="1"/>
  <c r="D87" i="2"/>
  <c r="H87" i="2" s="1"/>
  <c r="I87" i="2" s="1"/>
  <c r="J87" i="2" s="1"/>
  <c r="D71" i="2"/>
  <c r="H71" i="2" s="1"/>
  <c r="I71" i="2" s="1"/>
  <c r="D65" i="2"/>
  <c r="H65" i="2" s="1"/>
  <c r="I65" i="2" s="1"/>
  <c r="D63" i="2"/>
  <c r="H63" i="2" s="1"/>
  <c r="I63" i="2" s="1"/>
  <c r="F55" i="2"/>
  <c r="G55" i="2" s="1"/>
  <c r="D55" i="2"/>
  <c r="F41" i="2"/>
  <c r="G41" i="2" s="1"/>
  <c r="D41" i="2"/>
  <c r="F39" i="2"/>
  <c r="G39" i="2" s="1"/>
  <c r="D39" i="2"/>
  <c r="F37" i="2"/>
  <c r="G37" i="2" s="1"/>
  <c r="D37" i="2"/>
  <c r="F34" i="2"/>
  <c r="G34" i="2" s="1"/>
  <c r="D34" i="2"/>
  <c r="D33" i="2"/>
  <c r="H33" i="2" s="1"/>
  <c r="I33" i="2" s="1"/>
  <c r="F31" i="2"/>
  <c r="G31" i="2" s="1"/>
  <c r="D31" i="2"/>
  <c r="D29" i="2"/>
  <c r="H29" i="2" s="1"/>
  <c r="I29" i="2" s="1"/>
  <c r="F28" i="2"/>
  <c r="G28" i="2" s="1"/>
  <c r="D28" i="2"/>
  <c r="F27" i="2"/>
  <c r="G27" i="2" s="1"/>
  <c r="D27" i="2"/>
  <c r="F26" i="2"/>
  <c r="G26" i="2" s="1"/>
  <c r="D26" i="2"/>
  <c r="F25" i="2"/>
  <c r="G25" i="2" s="1"/>
  <c r="D25" i="2"/>
  <c r="F24" i="2"/>
  <c r="G24" i="2" s="1"/>
  <c r="D24" i="2"/>
  <c r="D23" i="2"/>
  <c r="F22" i="2"/>
  <c r="G22" i="2" s="1"/>
  <c r="D22" i="2"/>
  <c r="F21" i="2"/>
  <c r="G21" i="2" s="1"/>
  <c r="D21" i="2"/>
  <c r="F20" i="2"/>
  <c r="G20" i="2" s="1"/>
  <c r="D20" i="2"/>
  <c r="F19" i="2"/>
  <c r="G19" i="2" s="1"/>
  <c r="D19" i="2"/>
  <c r="F13" i="2"/>
  <c r="G13" i="2" s="1"/>
  <c r="D13" i="2"/>
  <c r="F12" i="2"/>
  <c r="G12" i="2" s="1"/>
  <c r="D12" i="2"/>
  <c r="F11" i="2"/>
  <c r="G11" i="2" s="1"/>
  <c r="D11" i="2"/>
  <c r="F10" i="2"/>
  <c r="D9" i="2"/>
  <c r="D8" i="2"/>
  <c r="H8" i="2" s="1"/>
  <c r="I8" i="2" s="1"/>
  <c r="E13" i="2" l="1"/>
  <c r="H13" i="2"/>
  <c r="I13" i="2" s="1"/>
  <c r="E22" i="2"/>
  <c r="H22" i="2"/>
  <c r="I22" i="2" s="1"/>
  <c r="E25" i="2"/>
  <c r="H25" i="2"/>
  <c r="I25" i="2" s="1"/>
  <c r="E27" i="2"/>
  <c r="H27" i="2"/>
  <c r="I27" i="2" s="1"/>
  <c r="E34" i="2"/>
  <c r="H34" i="2"/>
  <c r="I34" i="2" s="1"/>
  <c r="E39" i="2"/>
  <c r="H39" i="2"/>
  <c r="I39" i="2" s="1"/>
  <c r="E55" i="2"/>
  <c r="H55" i="2"/>
  <c r="I55" i="2" s="1"/>
  <c r="E20" i="2"/>
  <c r="H20" i="2"/>
  <c r="I20" i="2" s="1"/>
  <c r="E12" i="2"/>
  <c r="H12" i="2"/>
  <c r="I12" i="2" s="1"/>
  <c r="E19" i="2"/>
  <c r="H19" i="2"/>
  <c r="I19" i="2" s="1"/>
  <c r="E21" i="2"/>
  <c r="H21" i="2"/>
  <c r="I21" i="2" s="1"/>
  <c r="E23" i="2"/>
  <c r="H23" i="2"/>
  <c r="I23" i="2" s="1"/>
  <c r="E31" i="2"/>
  <c r="H31" i="2"/>
  <c r="I31" i="2" s="1"/>
  <c r="E11" i="2"/>
  <c r="H11" i="2"/>
  <c r="I11" i="2" s="1"/>
  <c r="E9" i="2"/>
  <c r="H9" i="2"/>
  <c r="I9" i="2" s="1"/>
  <c r="G10" i="2"/>
  <c r="G93" i="2" s="1"/>
  <c r="J109" i="2" s="1"/>
  <c r="H10" i="2"/>
  <c r="I10" i="2" s="1"/>
  <c r="E24" i="2"/>
  <c r="H24" i="2"/>
  <c r="I24" i="2" s="1"/>
  <c r="E26" i="2"/>
  <c r="H26" i="2"/>
  <c r="I26" i="2" s="1"/>
  <c r="E28" i="2"/>
  <c r="H28" i="2"/>
  <c r="I28" i="2" s="1"/>
  <c r="E37" i="2"/>
  <c r="H37" i="2"/>
  <c r="I37" i="2" s="1"/>
  <c r="E41" i="2"/>
  <c r="H41" i="2"/>
  <c r="I41" i="2" s="1"/>
  <c r="E65" i="2"/>
  <c r="E8" i="2"/>
  <c r="E29" i="2"/>
  <c r="E33" i="2"/>
  <c r="E63" i="2"/>
  <c r="E71" i="2"/>
  <c r="G10" i="1"/>
  <c r="F10" i="1"/>
  <c r="J92" i="2" l="1"/>
  <c r="P109" i="2" s="1"/>
  <c r="G38" i="1"/>
  <c r="F38" i="1"/>
  <c r="M63" i="1" l="1"/>
  <c r="L63" i="1"/>
  <c r="M98" i="1" l="1"/>
  <c r="G98" i="1"/>
  <c r="F98" i="1"/>
  <c r="L98" i="1"/>
  <c r="G80" i="1" l="1"/>
  <c r="F80" i="1" l="1"/>
  <c r="G74" i="1"/>
  <c r="F74" i="1"/>
  <c r="M38" i="1" l="1"/>
  <c r="L38" i="1"/>
  <c r="G96" i="1" l="1"/>
  <c r="M96" i="1"/>
  <c r="F96" i="1"/>
  <c r="G72" i="1" l="1"/>
  <c r="F72" i="1"/>
  <c r="F45" i="1" l="1"/>
  <c r="L45" i="1"/>
  <c r="M45" i="1"/>
  <c r="G45" i="1"/>
  <c r="G49" i="1"/>
  <c r="M49" i="1"/>
  <c r="L49" i="1"/>
  <c r="F49" i="1"/>
  <c r="G47" i="1" l="1"/>
  <c r="M47" i="1"/>
  <c r="L47" i="1"/>
  <c r="F47" i="1"/>
  <c r="G42" i="1" l="1"/>
  <c r="M42" i="1"/>
  <c r="G63" i="1" l="1"/>
  <c r="F63" i="1"/>
  <c r="G41" i="1"/>
  <c r="G28" i="1" l="1"/>
  <c r="G31" i="1"/>
  <c r="G33" i="1"/>
  <c r="G23" i="1"/>
  <c r="G35" i="1"/>
  <c r="G29" i="1"/>
  <c r="G24" i="1"/>
  <c r="G36" i="1"/>
  <c r="G30" i="1"/>
  <c r="G34" i="1"/>
  <c r="M35" i="1" l="1"/>
  <c r="L35" i="1"/>
  <c r="F35" i="1"/>
  <c r="M34" i="1"/>
  <c r="L34" i="1"/>
  <c r="F34" i="1"/>
  <c r="G32" i="1"/>
  <c r="M32" i="1"/>
  <c r="M33" i="1"/>
  <c r="L33" i="1" l="1"/>
  <c r="L32" i="1"/>
  <c r="F32" i="1"/>
  <c r="M31" i="1"/>
  <c r="M29" i="1"/>
  <c r="F29" i="1"/>
  <c r="G27" i="1" l="1"/>
  <c r="M27" i="1"/>
  <c r="F27" i="1"/>
  <c r="G26" i="1"/>
  <c r="M26" i="1"/>
  <c r="G25" i="1"/>
  <c r="M25" i="1"/>
  <c r="M24" i="1"/>
  <c r="M23" i="1"/>
  <c r="G13" i="1" l="1"/>
  <c r="M13" i="1"/>
  <c r="L13" i="1"/>
  <c r="F13" i="1"/>
  <c r="G12" i="1"/>
  <c r="G11" i="1"/>
  <c r="F11" i="1"/>
  <c r="M12" i="1" l="1"/>
  <c r="L12" i="1"/>
  <c r="F12" i="1"/>
  <c r="M11" i="1"/>
  <c r="M10" i="1" l="1"/>
  <c r="L10" i="1"/>
  <c r="M9" i="1" l="1"/>
  <c r="G5" i="1" l="1"/>
  <c r="G6" i="1"/>
  <c r="G4" i="1" l="1"/>
  <c r="F4" i="1"/>
  <c r="G3" i="1" l="1"/>
</calcChain>
</file>

<file path=xl/sharedStrings.xml><?xml version="1.0" encoding="utf-8"?>
<sst xmlns="http://schemas.openxmlformats.org/spreadsheetml/2006/main" count="274" uniqueCount="167">
  <si>
    <t>Drumul Industriilor</t>
  </si>
  <si>
    <t>Strada Targului</t>
  </si>
  <si>
    <t>Strada Moreni</t>
  </si>
  <si>
    <t>Strada Slanic</t>
  </si>
  <si>
    <t>Aleea 3 Bariera Valcii</t>
  </si>
  <si>
    <t>Aleea I Teilor nr. 61-73</t>
  </si>
  <si>
    <t>Strada Gradiste</t>
  </si>
  <si>
    <t>Strada Ticleni</t>
  </si>
  <si>
    <t>Aleea I Balteni</t>
  </si>
  <si>
    <t>Aleea II Balteni</t>
  </si>
  <si>
    <t>Aleea III Balteni</t>
  </si>
  <si>
    <t>Aleea IV Balteni</t>
  </si>
  <si>
    <t>Aleea II Capsunilor</t>
  </si>
  <si>
    <t>Aleea III Capsunilor</t>
  </si>
  <si>
    <t>Strada Romanitelor</t>
  </si>
  <si>
    <t>Aleea III Brestei</t>
  </si>
  <si>
    <t>Strada Spiru Haret</t>
  </si>
  <si>
    <t>Strada Balteni</t>
  </si>
  <si>
    <t>Strada Prelungirea Balteni</t>
  </si>
  <si>
    <t>Aleea Balteni</t>
  </si>
  <si>
    <t>Strada Raureni</t>
  </si>
  <si>
    <t>Strada Nasaud</t>
  </si>
  <si>
    <t>Strada Calarasi</t>
  </si>
  <si>
    <t>Strada Dimitrie Grecescu</t>
  </si>
  <si>
    <t>Strada Lebedei</t>
  </si>
  <si>
    <t>Strada Negoiu</t>
  </si>
  <si>
    <t>Strada Stanjeneilor</t>
  </si>
  <si>
    <t>Strada Dorobantilor</t>
  </si>
  <si>
    <t>Strada Brestei (casete supralargire, trotuare de pamant care au fost asfaltate)</t>
  </si>
  <si>
    <t>Aleea Teilor si alei adiacente (Aleea 4 Teilor, Aleea Bucegi)</t>
  </si>
  <si>
    <t>Aleea 1 Teilor</t>
  </si>
  <si>
    <t>Strada Trotusului</t>
  </si>
  <si>
    <t>Aleea Trotusului</t>
  </si>
  <si>
    <t>Strada Viorele</t>
  </si>
  <si>
    <t>Strada Caliman</t>
  </si>
  <si>
    <t>Strada Polovragi</t>
  </si>
  <si>
    <t>Strada Bradului</t>
  </si>
  <si>
    <t>Strada Bucegi</t>
  </si>
  <si>
    <t>Strada Zmeurei</t>
  </si>
  <si>
    <t>Strada Cantonului ( intre Viilor si Trotusului)</t>
  </si>
  <si>
    <t>Strada General Gheorghe Angelescu (Simnic)</t>
  </si>
  <si>
    <t>Strada Floresti (Simnic)</t>
  </si>
  <si>
    <t>Strada Rugului (Simnic)</t>
  </si>
  <si>
    <t>Aleea I Cocorului (Simnic)</t>
  </si>
  <si>
    <t>Aleea II Cocorului (Simnic)</t>
  </si>
  <si>
    <t>Trotuar Soseaua Balcesti (Simnic)</t>
  </si>
  <si>
    <t>Aleea 1 Soseaua Balcesti (Simnic)</t>
  </si>
  <si>
    <t>Strada Brates</t>
  </si>
  <si>
    <t>Strada Barsesti</t>
  </si>
  <si>
    <t>Strada Tarcaului</t>
  </si>
  <si>
    <t>Strada Luminitei</t>
  </si>
  <si>
    <t>Aleea 7 Teilor</t>
  </si>
  <si>
    <t>Strada Prunului</t>
  </si>
  <si>
    <t>Strada Rodnei</t>
  </si>
  <si>
    <t>Aleea Floresti (Simnic)</t>
  </si>
  <si>
    <t>Aleea Jieni (Simnic)</t>
  </si>
  <si>
    <t>Aleea Livezi</t>
  </si>
  <si>
    <t>Aleea Ramuri 2</t>
  </si>
  <si>
    <t>Strada Arnota</t>
  </si>
  <si>
    <t>Strada Ipotesti (Romanesti)</t>
  </si>
  <si>
    <t>Aleea 1 Bariera Valcii</t>
  </si>
  <si>
    <t>Aleea 1 Rozelor</t>
  </si>
  <si>
    <t>Strada Roznov</t>
  </si>
  <si>
    <t>Trotuar Strada Potelu</t>
  </si>
  <si>
    <t>Strada Salcioarei (pe 50% - este gata 100%, pe 50% - se pun gaze, nu se poate termina)</t>
  </si>
  <si>
    <t>Aleea Ramuri 5</t>
  </si>
  <si>
    <t>Strada Moldova (intre Popoveni si Braila)</t>
  </si>
  <si>
    <t>Aleea 4 Brestei</t>
  </si>
  <si>
    <t>Strada Doicesti</t>
  </si>
  <si>
    <t>Aleea 2 Fulger</t>
  </si>
  <si>
    <t>Strada Porumbitei</t>
  </si>
  <si>
    <t>Strada Banatului</t>
  </si>
  <si>
    <t>Strada Bahlui</t>
  </si>
  <si>
    <t>Strada Sacelu</t>
  </si>
  <si>
    <t>Strada Voineasa</t>
  </si>
  <si>
    <t>Strada Olanesti</t>
  </si>
  <si>
    <t>Strada Sacele</t>
  </si>
  <si>
    <t>Strada Padesului</t>
  </si>
  <si>
    <t>Strada Snagov</t>
  </si>
  <si>
    <t>Strada Teleajenului</t>
  </si>
  <si>
    <t>Strada Cicoarei</t>
  </si>
  <si>
    <t>Strada Carpati</t>
  </si>
  <si>
    <t>Strada Alexandria</t>
  </si>
  <si>
    <t>Strada Tismana</t>
  </si>
  <si>
    <t>Strada Paroseni</t>
  </si>
  <si>
    <t>Strada Crangului</t>
  </si>
  <si>
    <t>Lungime</t>
  </si>
  <si>
    <t>Latime</t>
  </si>
  <si>
    <t>Suprafata</t>
  </si>
  <si>
    <t>Valoare</t>
  </si>
  <si>
    <t>CAROSABIL</t>
  </si>
  <si>
    <t>TROTUAR</t>
  </si>
  <si>
    <t>Strada Ineului</t>
  </si>
  <si>
    <t>Strada Sovata (1+2)</t>
  </si>
  <si>
    <t>Strada Izvarna (1+2)</t>
  </si>
  <si>
    <t>Strada Buzaului</t>
  </si>
  <si>
    <t>Strada Randunelelor (1+2)</t>
  </si>
  <si>
    <t>Strada Cerbului</t>
  </si>
  <si>
    <t>Strada Ion Budai Deleanu</t>
  </si>
  <si>
    <t>NR. CRT.</t>
  </si>
  <si>
    <t>DENUMIRE STRADA</t>
  </si>
  <si>
    <t>DMC</t>
  </si>
  <si>
    <t>DC</t>
  </si>
  <si>
    <t>Aleea 1 Romanesti (Aleea 1 N. Romanescu)</t>
  </si>
  <si>
    <t>Aleea Popova</t>
  </si>
  <si>
    <t>Lungime S</t>
  </si>
  <si>
    <t>Latime S</t>
  </si>
  <si>
    <t>Lungime D</t>
  </si>
  <si>
    <t>Latime D</t>
  </si>
  <si>
    <t>6,73-9,15</t>
  </si>
  <si>
    <t>Strada Take Ionescu TR. 1 + TR. 2 + (accese si parcari 604m)</t>
  </si>
  <si>
    <t>4,54-5,96</t>
  </si>
  <si>
    <t>Strada Serban Cantacuzino TR. 2 +(accese 333m)</t>
  </si>
  <si>
    <t>Strada Serban Cantacuzino TR. 1+(accese 243m)</t>
  </si>
  <si>
    <t>3,03-6,19</t>
  </si>
  <si>
    <t>Strada Calimanului</t>
  </si>
  <si>
    <t>Strada General Gheorghe Anghelescu (Simnic)</t>
  </si>
  <si>
    <t>Strada Rodna</t>
  </si>
  <si>
    <t>Str. Jieni (Simnic)</t>
  </si>
  <si>
    <t xml:space="preserve">Aleea 2 Ramuri </t>
  </si>
  <si>
    <t>Aleea 1 Popova</t>
  </si>
  <si>
    <t xml:space="preserve">Aleea 5 Ramuri </t>
  </si>
  <si>
    <t>INVENTAR</t>
  </si>
  <si>
    <t xml:space="preserve">NUMĂR  </t>
  </si>
  <si>
    <t xml:space="preserve">Strada Salcioarei </t>
  </si>
  <si>
    <t>Valoare conf HCL NR. 309/2023</t>
  </si>
  <si>
    <t xml:space="preserve">Valoare CU TVA </t>
  </si>
  <si>
    <t>Valoare totala carosabil+trotuar  conf HCL NR. 309/2023</t>
  </si>
  <si>
    <t>Valoare totala carosabil+trotuar  cu TVA</t>
  </si>
  <si>
    <t xml:space="preserve">ACTUALIZAREA VALORII DE INVENTAR A UNOR BUNURI DOBANDITE DE AUTORITATEA PUBLICĂ LOCALĂ ŞI DECLARATE DE UZ SI INTERES PUBLIC LOCAL </t>
  </si>
  <si>
    <t>Strada Prelungirea Bechetului</t>
  </si>
  <si>
    <t>Valoare Lei cu TVA</t>
  </si>
  <si>
    <t>392,66 / 2,24</t>
  </si>
  <si>
    <t>403,48 / 0,83</t>
  </si>
  <si>
    <t>374,99/0,80</t>
  </si>
  <si>
    <t>585,25/0,99</t>
  </si>
  <si>
    <t>305,15/2-3,05</t>
  </si>
  <si>
    <t>277,09/2,3-3,3</t>
  </si>
  <si>
    <t>254,57/1,13</t>
  </si>
  <si>
    <t>Lungime S (m)/ Latime S (m)</t>
  </si>
  <si>
    <t>Lungime D (m)/ Latime D(m)</t>
  </si>
  <si>
    <t>428,66/1,75</t>
  </si>
  <si>
    <t>403,48/1,02</t>
  </si>
  <si>
    <t>373,17/1,18</t>
  </si>
  <si>
    <t>700,54 / 1001</t>
  </si>
  <si>
    <t>302,29 /1,5-3,1</t>
  </si>
  <si>
    <t>267,91/0,6-3,1</t>
  </si>
  <si>
    <t>254,57/1,55</t>
  </si>
  <si>
    <t>Lungime(m) / Latime (m)</t>
  </si>
  <si>
    <t>2436,75 /6,91</t>
  </si>
  <si>
    <t>501,50/ 8,02</t>
  </si>
  <si>
    <t>403,48/6,50</t>
  </si>
  <si>
    <t>373,28/5,34</t>
  </si>
  <si>
    <t>729,53/6,08</t>
  </si>
  <si>
    <t>300,18/6,80</t>
  </si>
  <si>
    <t>277,44/7,11</t>
  </si>
  <si>
    <t>254,57/7,11</t>
  </si>
  <si>
    <t>601,8 / 13,7</t>
  </si>
  <si>
    <r>
      <t xml:space="preserve">Valoare </t>
    </r>
    <r>
      <rPr>
        <sz val="11"/>
        <color theme="1"/>
        <rFont val="Times New Roman"/>
        <family val="1"/>
      </rPr>
      <t xml:space="preserve"> noua Lei cu TVA</t>
    </r>
  </si>
  <si>
    <t>Valoare actuala</t>
  </si>
  <si>
    <t>BUNURI CE COMPLETEAZA ANEXA NR. 4 LA HCL NR. 305/2023  SI SE DECLARA DE UZ SI INTERES PUBLIC LOCAL</t>
  </si>
  <si>
    <t>pag(1-4)</t>
  </si>
  <si>
    <t>FATA DE CENTRALIZATORUL DE LA SERVICII PUBLICE IN ANEXA PATRIMONIU NU SUNT POZITIILE 5 STR ALEEA 3 BARIERA VALCII, 6 ALEEA 1 TEILOR NR 61-73, POZ 19 STR PRELUNGIREA BALTENI, POZ 20 ALEEA BALTENI, POZ 38 ALEEA TEILOR SI ALEI ADIACENTE( AL 4 TEILOR SI AL BUCEGI)</t>
  </si>
  <si>
    <t>OBSERVATII NOTA</t>
  </si>
  <si>
    <t>ANEXA NR. 3 LA HOTĂRÂREA NR.365/2023</t>
  </si>
  <si>
    <t>PREŞEDINTE DE ŞEDINŢĂ,</t>
  </si>
  <si>
    <t>Lucian Costin DINDIRICĂ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</si>
</sst>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1" fontId="0" fillId="0" borderId="4" xfId="0" applyNumberFormat="1" applyBorder="1" applyAlignment="1">
      <alignment horizontal="center" vertical="center"/>
    </xf>
    <xf numFmtId="4" fontId="0" fillId="0" borderId="1" xfId="0" applyNumberFormat="1" applyBorder="1"/>
    <xf numFmtId="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1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1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0" fillId="0" borderId="9" xfId="0" applyBorder="1"/>
    <xf numFmtId="4" fontId="0" fillId="0" borderId="0" xfId="0" applyNumberFormat="1"/>
    <xf numFmtId="0" fontId="4" fillId="2" borderId="5" xfId="0" applyFont="1" applyFill="1" applyBorder="1" applyAlignment="1">
      <alignment wrapText="1"/>
    </xf>
    <xf numFmtId="0" fontId="0" fillId="2" borderId="5" xfId="0" applyFill="1" applyBorder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0"/>
  <sheetViews>
    <sheetView topLeftCell="B1" workbookViewId="0">
      <selection activeCell="F107" sqref="F107"/>
    </sheetView>
  </sheetViews>
  <sheetFormatPr defaultRowHeight="15" x14ac:dyDescent="0.25"/>
  <cols>
    <col min="1" max="1" width="1.7109375" customWidth="1"/>
    <col min="2" max="2" width="5.140625" style="1" customWidth="1"/>
    <col min="3" max="3" width="26.28515625" style="16" customWidth="1"/>
    <col min="4" max="5" width="11.7109375" style="1" customWidth="1"/>
    <col min="6" max="6" width="9.28515625" style="1" customWidth="1"/>
    <col min="7" max="11" width="11.7109375" style="1" customWidth="1"/>
    <col min="12" max="12" width="9.140625" style="1" customWidth="1"/>
    <col min="13" max="13" width="10.140625" style="1" customWidth="1"/>
  </cols>
  <sheetData>
    <row r="1" spans="2:15" ht="15" customHeight="1" x14ac:dyDescent="0.25">
      <c r="B1" s="41" t="s">
        <v>99</v>
      </c>
      <c r="C1" s="42" t="s">
        <v>100</v>
      </c>
      <c r="D1" s="41" t="s">
        <v>90</v>
      </c>
      <c r="E1" s="41"/>
      <c r="F1" s="41"/>
      <c r="G1" s="41"/>
      <c r="H1" s="43" t="s">
        <v>91</v>
      </c>
      <c r="I1" s="44"/>
      <c r="J1" s="44"/>
      <c r="K1" s="44"/>
      <c r="L1" s="44"/>
      <c r="M1" s="45"/>
    </row>
    <row r="2" spans="2:15" x14ac:dyDescent="0.25">
      <c r="B2" s="41"/>
      <c r="C2" s="42"/>
      <c r="D2" s="2" t="s">
        <v>86</v>
      </c>
      <c r="E2" s="2" t="s">
        <v>87</v>
      </c>
      <c r="F2" s="2" t="s">
        <v>88</v>
      </c>
      <c r="G2" s="2" t="s">
        <v>89</v>
      </c>
      <c r="H2" s="2" t="s">
        <v>105</v>
      </c>
      <c r="I2" s="2" t="s">
        <v>106</v>
      </c>
      <c r="J2" s="2" t="s">
        <v>107</v>
      </c>
      <c r="K2" s="2" t="s">
        <v>108</v>
      </c>
      <c r="L2" s="2" t="s">
        <v>88</v>
      </c>
      <c r="M2" s="2" t="s">
        <v>89</v>
      </c>
    </row>
    <row r="3" spans="2:15" x14ac:dyDescent="0.25">
      <c r="B3" s="9">
        <v>1</v>
      </c>
      <c r="C3" s="15" t="s">
        <v>0</v>
      </c>
      <c r="D3" s="10"/>
      <c r="E3" s="10"/>
      <c r="F3" s="10">
        <v>16845</v>
      </c>
      <c r="G3" s="10">
        <f>1202762.13+948633</f>
        <v>2151395.13</v>
      </c>
      <c r="H3" s="10"/>
      <c r="I3" s="10"/>
      <c r="J3" s="10"/>
      <c r="K3" s="10"/>
      <c r="L3" s="10"/>
      <c r="M3" s="10"/>
      <c r="N3" s="41" t="s">
        <v>101</v>
      </c>
    </row>
    <row r="4" spans="2:15" x14ac:dyDescent="0.25">
      <c r="B4" s="9">
        <v>2</v>
      </c>
      <c r="C4" s="15" t="s">
        <v>1</v>
      </c>
      <c r="D4" s="10"/>
      <c r="E4" s="10"/>
      <c r="F4" s="10">
        <f>4021+510.8</f>
        <v>4531.8</v>
      </c>
      <c r="G4" s="10">
        <f>569796.45+69456.96</f>
        <v>639253.40999999992</v>
      </c>
      <c r="H4" s="10"/>
      <c r="I4" s="10"/>
      <c r="J4" s="10"/>
      <c r="K4" s="10"/>
      <c r="L4" s="10">
        <v>1632</v>
      </c>
      <c r="M4" s="10">
        <v>135539.70000000001</v>
      </c>
      <c r="N4" s="41"/>
    </row>
    <row r="5" spans="2:15" x14ac:dyDescent="0.25">
      <c r="B5" s="2">
        <v>3</v>
      </c>
      <c r="C5" s="4" t="s">
        <v>2</v>
      </c>
      <c r="D5" s="3">
        <v>116.67</v>
      </c>
      <c r="E5" s="3">
        <v>5.22</v>
      </c>
      <c r="F5" s="3">
        <v>610</v>
      </c>
      <c r="G5" s="3">
        <f>90670.74+8327.8</f>
        <v>98998.540000000008</v>
      </c>
      <c r="H5" s="3">
        <v>114.54</v>
      </c>
      <c r="I5" s="3">
        <v>1.1599999999999999</v>
      </c>
      <c r="J5" s="3">
        <v>118.81</v>
      </c>
      <c r="K5" s="3">
        <v>1.35</v>
      </c>
      <c r="L5" s="3">
        <v>295</v>
      </c>
      <c r="M5" s="3">
        <v>18667.099999999999</v>
      </c>
      <c r="N5" s="41"/>
    </row>
    <row r="6" spans="2:15" x14ac:dyDescent="0.25">
      <c r="B6" s="2">
        <v>4</v>
      </c>
      <c r="C6" s="4" t="s">
        <v>3</v>
      </c>
      <c r="D6" s="3">
        <v>97.93</v>
      </c>
      <c r="E6" s="3">
        <v>4.03</v>
      </c>
      <c r="F6" s="3">
        <v>395</v>
      </c>
      <c r="G6" s="3">
        <f>60811.37+8327.8</f>
        <v>69139.17</v>
      </c>
      <c r="H6" s="3">
        <v>83.86</v>
      </c>
      <c r="I6" s="3">
        <v>1.18</v>
      </c>
      <c r="J6" s="3">
        <v>99.81</v>
      </c>
      <c r="K6" s="3">
        <v>0.93</v>
      </c>
      <c r="L6" s="3">
        <v>193</v>
      </c>
      <c r="M6" s="3">
        <v>12212.65</v>
      </c>
      <c r="N6" s="41"/>
    </row>
    <row r="7" spans="2:15" x14ac:dyDescent="0.25">
      <c r="B7" s="9">
        <v>5</v>
      </c>
      <c r="C7" s="15" t="s">
        <v>4</v>
      </c>
      <c r="D7" s="10"/>
      <c r="E7" s="10"/>
      <c r="F7" s="10">
        <v>1470</v>
      </c>
      <c r="G7" s="10">
        <v>222197.85</v>
      </c>
      <c r="H7" s="10"/>
      <c r="I7" s="10"/>
      <c r="J7" s="10"/>
      <c r="K7" s="10"/>
      <c r="L7" s="10">
        <v>505</v>
      </c>
      <c r="M7" s="10">
        <v>33270.14</v>
      </c>
      <c r="N7" s="41"/>
    </row>
    <row r="8" spans="2:15" x14ac:dyDescent="0.25">
      <c r="B8" s="9">
        <v>6</v>
      </c>
      <c r="C8" s="15" t="s">
        <v>5</v>
      </c>
      <c r="D8" s="10"/>
      <c r="E8" s="10"/>
      <c r="F8" s="10">
        <v>306</v>
      </c>
      <c r="G8" s="10">
        <v>61025.17</v>
      </c>
      <c r="H8" s="10"/>
      <c r="I8" s="10"/>
      <c r="J8" s="10"/>
      <c r="K8" s="10"/>
      <c r="L8" s="10"/>
      <c r="M8" s="10"/>
      <c r="N8" s="41"/>
    </row>
    <row r="9" spans="2:15" x14ac:dyDescent="0.25">
      <c r="B9" s="2">
        <v>7</v>
      </c>
      <c r="C9" s="4" t="s">
        <v>6</v>
      </c>
      <c r="D9" s="3">
        <v>301.01</v>
      </c>
      <c r="E9" s="3">
        <v>5.87</v>
      </c>
      <c r="F9" s="3">
        <v>1768</v>
      </c>
      <c r="G9" s="3">
        <v>353233.87</v>
      </c>
      <c r="H9" s="3">
        <v>310.61</v>
      </c>
      <c r="I9" s="3">
        <v>1.45</v>
      </c>
      <c r="J9" s="3">
        <v>271.32</v>
      </c>
      <c r="K9" s="3">
        <v>1.57</v>
      </c>
      <c r="L9" s="3">
        <v>866.86</v>
      </c>
      <c r="M9" s="3">
        <f>32252.06+26551.92</f>
        <v>58803.979999999996</v>
      </c>
      <c r="N9" s="41"/>
    </row>
    <row r="10" spans="2:15" x14ac:dyDescent="0.25">
      <c r="B10" s="2">
        <v>8</v>
      </c>
      <c r="C10" s="4" t="s">
        <v>7</v>
      </c>
      <c r="D10" s="3">
        <v>359.43</v>
      </c>
      <c r="E10" s="3">
        <v>4.1399999999999997</v>
      </c>
      <c r="F10" s="3">
        <f>1493</f>
        <v>1493</v>
      </c>
      <c r="G10" s="3">
        <f>251404.97+29307.67</f>
        <v>280712.64</v>
      </c>
      <c r="H10" s="3">
        <v>350.7</v>
      </c>
      <c r="I10" s="3">
        <v>0.54</v>
      </c>
      <c r="J10" s="3">
        <v>275.02</v>
      </c>
      <c r="K10" s="3">
        <v>0.55000000000000004</v>
      </c>
      <c r="L10" s="3">
        <f>253.3+88.26</f>
        <v>341.56</v>
      </c>
      <c r="M10" s="3">
        <f>16840.4+6119.77</f>
        <v>22960.170000000002</v>
      </c>
      <c r="N10" s="41"/>
    </row>
    <row r="11" spans="2:15" s="11" customFormat="1" x14ac:dyDescent="0.25">
      <c r="B11" s="9">
        <v>9</v>
      </c>
      <c r="C11" s="15" t="s">
        <v>8</v>
      </c>
      <c r="D11" s="10"/>
      <c r="E11" s="10"/>
      <c r="F11" s="10">
        <f>1679+948</f>
        <v>2627</v>
      </c>
      <c r="G11" s="10">
        <f>316121.26+141780.51</f>
        <v>457901.77</v>
      </c>
      <c r="H11" s="10"/>
      <c r="I11" s="10"/>
      <c r="J11" s="10"/>
      <c r="K11" s="10"/>
      <c r="L11" s="10">
        <v>740.1</v>
      </c>
      <c r="M11" s="10">
        <f>52049.12</f>
        <v>52049.120000000003</v>
      </c>
      <c r="N11" s="41"/>
      <c r="O11"/>
    </row>
    <row r="12" spans="2:15" x14ac:dyDescent="0.25">
      <c r="B12" s="2">
        <v>10</v>
      </c>
      <c r="C12" s="4" t="s">
        <v>9</v>
      </c>
      <c r="D12" s="3">
        <v>281.37</v>
      </c>
      <c r="E12" s="3">
        <v>5.16</v>
      </c>
      <c r="F12" s="3">
        <f>1440.4</f>
        <v>1440.4</v>
      </c>
      <c r="G12" s="3">
        <f>240611.65+28155.6</f>
        <v>268767.25</v>
      </c>
      <c r="H12" s="3">
        <v>277.7</v>
      </c>
      <c r="I12" s="3">
        <v>0.36</v>
      </c>
      <c r="J12" s="3">
        <v>275.02</v>
      </c>
      <c r="K12" s="3">
        <v>0.52</v>
      </c>
      <c r="L12" s="3">
        <f>243.3</f>
        <v>243.3</v>
      </c>
      <c r="M12" s="3">
        <f>16175.56</f>
        <v>16175.56</v>
      </c>
      <c r="N12" s="41"/>
    </row>
    <row r="13" spans="2:15" x14ac:dyDescent="0.25">
      <c r="B13" s="2">
        <v>11</v>
      </c>
      <c r="C13" s="4" t="s">
        <v>10</v>
      </c>
      <c r="D13" s="3">
        <v>449.94</v>
      </c>
      <c r="E13" s="3">
        <v>3.56</v>
      </c>
      <c r="F13" s="3">
        <f>1600</f>
        <v>1600</v>
      </c>
      <c r="G13" s="3">
        <f>247114.58</f>
        <v>247114.58</v>
      </c>
      <c r="H13" s="3">
        <v>448.85</v>
      </c>
      <c r="I13" s="3">
        <v>0.38</v>
      </c>
      <c r="J13" s="3">
        <v>448.35</v>
      </c>
      <c r="K13" s="3">
        <v>0.37</v>
      </c>
      <c r="L13" s="3">
        <f>338.5</f>
        <v>338.5</v>
      </c>
      <c r="M13" s="3">
        <f>25301.56</f>
        <v>25301.56</v>
      </c>
      <c r="N13" s="41"/>
    </row>
    <row r="14" spans="2:15" x14ac:dyDescent="0.25">
      <c r="B14" s="2">
        <v>12</v>
      </c>
      <c r="C14" s="4" t="s">
        <v>11</v>
      </c>
      <c r="D14" s="3">
        <v>561.36</v>
      </c>
      <c r="E14" s="3">
        <v>3.01</v>
      </c>
      <c r="F14" s="3">
        <v>1693</v>
      </c>
      <c r="G14" s="3">
        <v>260210.63</v>
      </c>
      <c r="H14" s="3">
        <v>488.23</v>
      </c>
      <c r="I14" s="3">
        <v>0.19</v>
      </c>
      <c r="J14" s="3">
        <v>482.56</v>
      </c>
      <c r="K14" s="3">
        <v>0.25</v>
      </c>
      <c r="L14" s="3">
        <v>215.53</v>
      </c>
      <c r="M14" s="3">
        <v>21200.240000000002</v>
      </c>
      <c r="N14" s="41"/>
    </row>
    <row r="15" spans="2:15" x14ac:dyDescent="0.25">
      <c r="B15" s="2">
        <v>13</v>
      </c>
      <c r="C15" s="4" t="s">
        <v>12</v>
      </c>
      <c r="D15" s="3">
        <v>126.5</v>
      </c>
      <c r="E15" s="3">
        <v>4.5599999999999996</v>
      </c>
      <c r="F15" s="3">
        <v>577</v>
      </c>
      <c r="G15" s="3">
        <v>111634.01</v>
      </c>
      <c r="H15" s="3">
        <v>121.67</v>
      </c>
      <c r="I15" s="3">
        <v>0.75</v>
      </c>
      <c r="J15" s="3">
        <v>128.6</v>
      </c>
      <c r="K15" s="3">
        <v>0.49</v>
      </c>
      <c r="L15" s="3">
        <v>154.80000000000001</v>
      </c>
      <c r="M15" s="3">
        <v>10733.52</v>
      </c>
      <c r="N15" s="41"/>
    </row>
    <row r="16" spans="2:15" x14ac:dyDescent="0.25">
      <c r="B16" s="2">
        <v>14</v>
      </c>
      <c r="C16" s="4" t="s">
        <v>13</v>
      </c>
      <c r="D16" s="3">
        <v>146.54</v>
      </c>
      <c r="E16" s="3">
        <v>4.17</v>
      </c>
      <c r="F16" s="3">
        <v>611.29999999999995</v>
      </c>
      <c r="G16" s="3">
        <v>122074.77</v>
      </c>
      <c r="H16" s="3">
        <v>146.24</v>
      </c>
      <c r="I16" s="3">
        <v>0.5</v>
      </c>
      <c r="J16" s="3">
        <v>144.06</v>
      </c>
      <c r="K16" s="3">
        <v>0.3</v>
      </c>
      <c r="L16" s="3">
        <v>116.1</v>
      </c>
      <c r="M16" s="3">
        <v>8050.14</v>
      </c>
      <c r="N16" s="41"/>
    </row>
    <row r="17" spans="2:15" s="11" customFormat="1" x14ac:dyDescent="0.25">
      <c r="B17" s="9">
        <v>15</v>
      </c>
      <c r="C17" s="15" t="s">
        <v>14</v>
      </c>
      <c r="D17" s="10"/>
      <c r="E17" s="10"/>
      <c r="F17" s="10">
        <v>1987.5</v>
      </c>
      <c r="G17" s="10">
        <v>400750.37</v>
      </c>
      <c r="H17" s="10"/>
      <c r="I17" s="10"/>
      <c r="J17" s="10"/>
      <c r="K17" s="10"/>
      <c r="L17" s="10">
        <v>745.5</v>
      </c>
      <c r="M17" s="10">
        <v>51691.48</v>
      </c>
      <c r="N17" s="41"/>
      <c r="O17"/>
    </row>
    <row r="18" spans="2:15" x14ac:dyDescent="0.25">
      <c r="B18" s="2">
        <v>16</v>
      </c>
      <c r="C18" s="4" t="s">
        <v>15</v>
      </c>
      <c r="D18" s="3">
        <v>351.07</v>
      </c>
      <c r="E18" s="3">
        <v>3.31</v>
      </c>
      <c r="F18" s="3">
        <v>1162</v>
      </c>
      <c r="G18" s="3">
        <v>219127.42</v>
      </c>
      <c r="H18" s="3">
        <v>352.19</v>
      </c>
      <c r="I18" s="3">
        <v>0.44</v>
      </c>
      <c r="J18" s="3">
        <v>347.5</v>
      </c>
      <c r="K18" s="3">
        <v>0.23</v>
      </c>
      <c r="L18" s="3">
        <v>235.7</v>
      </c>
      <c r="M18" s="3">
        <v>9123.48</v>
      </c>
      <c r="N18" s="41"/>
    </row>
    <row r="19" spans="2:15" x14ac:dyDescent="0.25">
      <c r="B19" s="2">
        <v>17</v>
      </c>
      <c r="C19" s="4" t="s">
        <v>16</v>
      </c>
      <c r="D19" s="3">
        <v>284.73</v>
      </c>
      <c r="E19" s="3">
        <v>6.13</v>
      </c>
      <c r="F19" s="3">
        <v>1741</v>
      </c>
      <c r="G19" s="3">
        <v>390453.95</v>
      </c>
      <c r="H19" s="3">
        <v>286.37</v>
      </c>
      <c r="I19" s="3">
        <v>1.04</v>
      </c>
      <c r="J19" s="3">
        <v>288.05</v>
      </c>
      <c r="K19" s="3">
        <v>1.85</v>
      </c>
      <c r="L19" s="3">
        <v>828.65</v>
      </c>
      <c r="M19" s="3">
        <v>58548.43</v>
      </c>
      <c r="N19" s="41"/>
    </row>
    <row r="20" spans="2:15" s="11" customFormat="1" x14ac:dyDescent="0.25">
      <c r="B20" s="9">
        <v>18</v>
      </c>
      <c r="C20" s="15" t="s">
        <v>17</v>
      </c>
      <c r="D20" s="10"/>
      <c r="E20" s="10"/>
      <c r="F20" s="10">
        <v>4438</v>
      </c>
      <c r="G20" s="10">
        <v>761860.56</v>
      </c>
      <c r="H20" s="10"/>
      <c r="I20" s="10"/>
      <c r="J20" s="10"/>
      <c r="K20" s="10"/>
      <c r="L20" s="10">
        <v>1256.46</v>
      </c>
      <c r="M20" s="10">
        <v>87120.42</v>
      </c>
      <c r="N20" s="41"/>
      <c r="O20"/>
    </row>
    <row r="21" spans="2:15" s="11" customFormat="1" x14ac:dyDescent="0.25">
      <c r="B21" s="9">
        <v>19</v>
      </c>
      <c r="C21" s="15" t="s">
        <v>18</v>
      </c>
      <c r="D21" s="10"/>
      <c r="E21" s="10"/>
      <c r="F21" s="10">
        <v>717</v>
      </c>
      <c r="G21" s="10">
        <v>108552.91</v>
      </c>
      <c r="H21" s="10"/>
      <c r="I21" s="10"/>
      <c r="J21" s="10"/>
      <c r="K21" s="10"/>
      <c r="L21" s="10">
        <v>87.85</v>
      </c>
      <c r="M21" s="10">
        <v>5639</v>
      </c>
      <c r="N21" s="41"/>
      <c r="O21"/>
    </row>
    <row r="22" spans="2:15" s="11" customFormat="1" x14ac:dyDescent="0.25">
      <c r="B22" s="9">
        <v>20</v>
      </c>
      <c r="C22" s="15" t="s">
        <v>19</v>
      </c>
      <c r="D22" s="10"/>
      <c r="E22" s="10"/>
      <c r="F22" s="10">
        <v>1116.2</v>
      </c>
      <c r="G22" s="10">
        <v>166936.07999999999</v>
      </c>
      <c r="H22" s="10"/>
      <c r="I22" s="10"/>
      <c r="J22" s="10"/>
      <c r="K22" s="10"/>
      <c r="L22" s="10">
        <v>95.83</v>
      </c>
      <c r="M22" s="10">
        <v>12274.89</v>
      </c>
      <c r="N22" s="41"/>
      <c r="O22"/>
    </row>
    <row r="23" spans="2:15" x14ac:dyDescent="0.25">
      <c r="B23" s="2">
        <v>21</v>
      </c>
      <c r="C23" s="4" t="s">
        <v>20</v>
      </c>
      <c r="D23" s="8">
        <v>135.31</v>
      </c>
      <c r="E23" s="8">
        <v>6.1</v>
      </c>
      <c r="F23" s="3">
        <v>826</v>
      </c>
      <c r="G23" s="3">
        <f>14650.78+114195.35+773.05</f>
        <v>129619.18000000001</v>
      </c>
      <c r="H23" s="8">
        <v>136.19999999999999</v>
      </c>
      <c r="I23" s="8">
        <v>1.51</v>
      </c>
      <c r="J23" s="8">
        <v>138.57</v>
      </c>
      <c r="K23" s="8">
        <v>1.59</v>
      </c>
      <c r="L23" s="3">
        <v>424</v>
      </c>
      <c r="M23" s="3">
        <f>11539.01+25073.31</f>
        <v>36612.32</v>
      </c>
      <c r="N23" s="41"/>
    </row>
    <row r="24" spans="2:15" x14ac:dyDescent="0.25">
      <c r="B24" s="2">
        <v>22</v>
      </c>
      <c r="C24" s="4" t="s">
        <v>21</v>
      </c>
      <c r="D24" s="8">
        <v>303.92</v>
      </c>
      <c r="E24" s="8">
        <v>6.19</v>
      </c>
      <c r="F24" s="3">
        <v>1882</v>
      </c>
      <c r="G24" s="3">
        <f>31654.24+260187.84+3186.63</f>
        <v>295028.71000000002</v>
      </c>
      <c r="H24" s="8">
        <v>264.83999999999997</v>
      </c>
      <c r="I24" s="8">
        <v>2.0499999999999998</v>
      </c>
      <c r="J24" s="8">
        <v>295.89</v>
      </c>
      <c r="K24" s="8">
        <v>1.67</v>
      </c>
      <c r="L24" s="3">
        <v>1036</v>
      </c>
      <c r="M24" s="3">
        <f>28167.52+90659.72</f>
        <v>118827.24</v>
      </c>
      <c r="N24" s="41"/>
    </row>
    <row r="25" spans="2:15" x14ac:dyDescent="0.25">
      <c r="B25" s="2">
        <v>23</v>
      </c>
      <c r="C25" s="4" t="s">
        <v>22</v>
      </c>
      <c r="D25" s="8">
        <v>249</v>
      </c>
      <c r="E25" s="8">
        <v>6.31</v>
      </c>
      <c r="F25" s="3">
        <v>1572</v>
      </c>
      <c r="G25" s="3">
        <f>26307.24+215959.55</f>
        <v>242266.78999999998</v>
      </c>
      <c r="H25" s="8">
        <v>250</v>
      </c>
      <c r="I25" s="8">
        <v>1.28</v>
      </c>
      <c r="J25" s="8">
        <v>242.04</v>
      </c>
      <c r="K25" s="8">
        <v>1.62</v>
      </c>
      <c r="L25" s="3">
        <v>712</v>
      </c>
      <c r="M25" s="3">
        <f>20430.51+64182.49</f>
        <v>84613</v>
      </c>
      <c r="N25" s="41"/>
    </row>
    <row r="26" spans="2:15" x14ac:dyDescent="0.25">
      <c r="B26" s="2">
        <v>24</v>
      </c>
      <c r="C26" s="4" t="s">
        <v>23</v>
      </c>
      <c r="D26" s="3">
        <v>256</v>
      </c>
      <c r="E26" s="3">
        <v>6.01</v>
      </c>
      <c r="F26" s="3">
        <v>1540</v>
      </c>
      <c r="G26" s="3">
        <f>27376.64+212908.07</f>
        <v>240284.71000000002</v>
      </c>
      <c r="H26" s="3">
        <v>256.39</v>
      </c>
      <c r="I26" s="3">
        <v>1.19</v>
      </c>
      <c r="J26" s="3">
        <v>255.09</v>
      </c>
      <c r="K26" s="3">
        <v>2.0499999999999998</v>
      </c>
      <c r="L26" s="3">
        <v>830</v>
      </c>
      <c r="M26" s="3">
        <f>22558.57+77715.64</f>
        <v>100274.20999999999</v>
      </c>
      <c r="N26" s="41"/>
    </row>
    <row r="27" spans="2:15" s="11" customFormat="1" x14ac:dyDescent="0.25">
      <c r="B27" s="9">
        <v>25</v>
      </c>
      <c r="C27" s="15" t="s">
        <v>93</v>
      </c>
      <c r="D27" s="10"/>
      <c r="E27" s="10"/>
      <c r="F27" s="10">
        <f>2045</f>
        <v>2045</v>
      </c>
      <c r="G27" s="10">
        <f>307199.88</f>
        <v>307199.88</v>
      </c>
      <c r="H27" s="10"/>
      <c r="I27" s="10"/>
      <c r="J27" s="10"/>
      <c r="K27" s="10"/>
      <c r="L27" s="10">
        <v>1504</v>
      </c>
      <c r="M27" s="10">
        <f>118029.06</f>
        <v>118029.06</v>
      </c>
      <c r="N27" s="41"/>
      <c r="O27"/>
    </row>
    <row r="28" spans="2:15" x14ac:dyDescent="0.25">
      <c r="B28" s="2">
        <v>26</v>
      </c>
      <c r="C28" s="4" t="s">
        <v>94</v>
      </c>
      <c r="D28" s="8">
        <v>571.85</v>
      </c>
      <c r="E28" s="8">
        <v>7.17</v>
      </c>
      <c r="F28" s="3">
        <v>4098</v>
      </c>
      <c r="G28" s="3">
        <f>608599.65+2319.15+773.05</f>
        <v>611691.85000000009</v>
      </c>
      <c r="H28" s="8">
        <v>486.87</v>
      </c>
      <c r="I28" s="8">
        <v>1.65</v>
      </c>
      <c r="J28" s="8">
        <v>558.36</v>
      </c>
      <c r="K28" s="8">
        <v>1.67</v>
      </c>
      <c r="L28" s="3">
        <v>1741</v>
      </c>
      <c r="M28" s="3">
        <v>138595.24</v>
      </c>
      <c r="N28" s="41"/>
    </row>
    <row r="29" spans="2:15" x14ac:dyDescent="0.25">
      <c r="B29" s="2">
        <v>27</v>
      </c>
      <c r="C29" s="4" t="s">
        <v>24</v>
      </c>
      <c r="D29" s="8">
        <v>483.88</v>
      </c>
      <c r="E29" s="8">
        <v>7.01</v>
      </c>
      <c r="F29" s="3">
        <f>3392</f>
        <v>3392</v>
      </c>
      <c r="G29" s="3">
        <f>515543.87+1546.1</f>
        <v>517089.97</v>
      </c>
      <c r="H29" s="8">
        <v>462.41</v>
      </c>
      <c r="I29" s="8">
        <v>1.77</v>
      </c>
      <c r="J29" s="8">
        <v>486.22</v>
      </c>
      <c r="K29" s="8">
        <v>1.85</v>
      </c>
      <c r="L29" s="3">
        <v>1718</v>
      </c>
      <c r="M29" s="3">
        <f>135993.55</f>
        <v>135993.54999999999</v>
      </c>
      <c r="N29" s="41"/>
    </row>
    <row r="30" spans="2:15" s="11" customFormat="1" x14ac:dyDescent="0.25">
      <c r="B30" s="9">
        <v>28</v>
      </c>
      <c r="C30" s="15" t="s">
        <v>25</v>
      </c>
      <c r="D30" s="10"/>
      <c r="E30" s="10"/>
      <c r="F30" s="10">
        <v>1975</v>
      </c>
      <c r="G30" s="10">
        <f>301822.91+2529.5</f>
        <v>304352.40999999997</v>
      </c>
      <c r="H30" s="10"/>
      <c r="I30" s="10"/>
      <c r="J30" s="10"/>
      <c r="K30" s="10"/>
      <c r="L30" s="10">
        <v>1617</v>
      </c>
      <c r="M30" s="10">
        <v>117927.81</v>
      </c>
      <c r="N30" s="41"/>
      <c r="O30"/>
    </row>
    <row r="31" spans="2:15" x14ac:dyDescent="0.25">
      <c r="B31" s="2">
        <v>29</v>
      </c>
      <c r="C31" s="4" t="s">
        <v>26</v>
      </c>
      <c r="D31" s="3">
        <v>282.63</v>
      </c>
      <c r="E31" s="3">
        <v>6.88</v>
      </c>
      <c r="F31" s="3">
        <v>1947</v>
      </c>
      <c r="G31" s="3">
        <f>296588.45+773.05</f>
        <v>297361.5</v>
      </c>
      <c r="H31" s="3">
        <v>285.37</v>
      </c>
      <c r="I31" s="3">
        <v>2.09</v>
      </c>
      <c r="J31" s="3">
        <v>278.88</v>
      </c>
      <c r="K31" s="3">
        <v>2.2400000000000002</v>
      </c>
      <c r="L31" s="3">
        <v>1227</v>
      </c>
      <c r="M31" s="3">
        <f>93618.65</f>
        <v>93618.65</v>
      </c>
      <c r="N31" s="41"/>
    </row>
    <row r="32" spans="2:15" x14ac:dyDescent="0.25">
      <c r="B32" s="2">
        <v>30</v>
      </c>
      <c r="C32" s="4" t="s">
        <v>27</v>
      </c>
      <c r="D32" s="3">
        <v>247</v>
      </c>
      <c r="E32" s="3">
        <v>6.93</v>
      </c>
      <c r="F32" s="3">
        <f>1713</f>
        <v>1713</v>
      </c>
      <c r="G32" s="3">
        <f>138821.77+119310.45</f>
        <v>258132.21999999997</v>
      </c>
      <c r="H32" s="3">
        <v>244.97</v>
      </c>
      <c r="I32" s="3">
        <v>2.97</v>
      </c>
      <c r="J32" s="3">
        <v>220.78</v>
      </c>
      <c r="K32" s="3">
        <v>2.7</v>
      </c>
      <c r="L32" s="3">
        <f>1326</f>
        <v>1326</v>
      </c>
      <c r="M32" s="3">
        <f>45276.44+57012.1</f>
        <v>102288.54000000001</v>
      </c>
      <c r="N32" s="41"/>
    </row>
    <row r="33" spans="2:15" s="11" customFormat="1" x14ac:dyDescent="0.25">
      <c r="B33" s="9">
        <v>31</v>
      </c>
      <c r="C33" s="15" t="s">
        <v>92</v>
      </c>
      <c r="D33" s="10"/>
      <c r="E33" s="10"/>
      <c r="F33" s="10">
        <v>1807</v>
      </c>
      <c r="G33" s="10">
        <f>24043.05+256577.61+773.05</f>
        <v>281393.70999999996</v>
      </c>
      <c r="H33" s="10"/>
      <c r="I33" s="10"/>
      <c r="J33" s="10"/>
      <c r="K33" s="10"/>
      <c r="L33" s="10">
        <f>675</f>
        <v>675</v>
      </c>
      <c r="M33" s="10">
        <f>22324.95+35463.33</f>
        <v>57788.28</v>
      </c>
      <c r="N33" s="41"/>
      <c r="O33"/>
    </row>
    <row r="34" spans="2:15" x14ac:dyDescent="0.25">
      <c r="B34" s="2">
        <v>32</v>
      </c>
      <c r="C34" s="4" t="s">
        <v>96</v>
      </c>
      <c r="D34" s="3">
        <v>490.63</v>
      </c>
      <c r="E34" s="3">
        <v>6.7</v>
      </c>
      <c r="F34" s="3">
        <f>2044+1242</f>
        <v>3286</v>
      </c>
      <c r="G34" s="3">
        <f>169598.04+142364.6+199132.65+6656.55</f>
        <v>517751.84</v>
      </c>
      <c r="H34" s="3">
        <v>466.77</v>
      </c>
      <c r="I34" s="3">
        <v>1.65</v>
      </c>
      <c r="J34" s="3">
        <v>501.35</v>
      </c>
      <c r="K34" s="3">
        <v>1.83</v>
      </c>
      <c r="L34" s="3">
        <f>941+739</f>
        <v>1680</v>
      </c>
      <c r="M34" s="3">
        <f>31122.63+38789.71+61540.22</f>
        <v>131452.56</v>
      </c>
      <c r="N34" s="41"/>
    </row>
    <row r="35" spans="2:15" x14ac:dyDescent="0.25">
      <c r="B35" s="2">
        <v>33</v>
      </c>
      <c r="C35" s="4" t="s">
        <v>95</v>
      </c>
      <c r="D35" s="3">
        <v>680.74</v>
      </c>
      <c r="E35" s="3">
        <v>7.14</v>
      </c>
      <c r="F35" s="3">
        <f>3272+1589</f>
        <v>4861</v>
      </c>
      <c r="G35" s="3">
        <f>235159.11+258947.68+241386.33+773.05</f>
        <v>736266.17</v>
      </c>
      <c r="H35" s="3">
        <v>663.19</v>
      </c>
      <c r="I35" s="3">
        <v>1.38</v>
      </c>
      <c r="J35" s="3">
        <v>623.61</v>
      </c>
      <c r="K35" s="3">
        <v>1.47</v>
      </c>
      <c r="L35" s="3">
        <f>1355+486</f>
        <v>1841</v>
      </c>
      <c r="M35" s="3">
        <f>44815.27+47632.45+39768.5</f>
        <v>132216.22</v>
      </c>
      <c r="N35" s="41"/>
    </row>
    <row r="36" spans="2:15" x14ac:dyDescent="0.25">
      <c r="B36" s="2">
        <v>34</v>
      </c>
      <c r="C36" s="4" t="s">
        <v>97</v>
      </c>
      <c r="D36" s="3">
        <v>275.83</v>
      </c>
      <c r="E36" s="3">
        <v>7.01</v>
      </c>
      <c r="F36" s="3">
        <v>1936</v>
      </c>
      <c r="G36" s="3">
        <f>294103.84+2538.12</f>
        <v>296641.96000000002</v>
      </c>
      <c r="H36" s="3">
        <v>275.32</v>
      </c>
      <c r="I36" s="3">
        <v>1.68</v>
      </c>
      <c r="J36" s="3">
        <v>246.49</v>
      </c>
      <c r="K36" s="3">
        <v>1.1100000000000001</v>
      </c>
      <c r="L36" s="3">
        <v>738</v>
      </c>
      <c r="M36" s="3">
        <v>64951.51</v>
      </c>
      <c r="N36" s="41"/>
    </row>
    <row r="37" spans="2:15" x14ac:dyDescent="0.25">
      <c r="B37" s="2">
        <v>35</v>
      </c>
      <c r="C37" s="4" t="s">
        <v>98</v>
      </c>
      <c r="D37" s="3">
        <v>328.68</v>
      </c>
      <c r="E37" s="3">
        <v>6.1</v>
      </c>
      <c r="F37" s="3">
        <v>2007</v>
      </c>
      <c r="G37" s="3">
        <v>309104.51</v>
      </c>
      <c r="H37" s="3">
        <v>322.42</v>
      </c>
      <c r="I37" s="3">
        <v>1.87</v>
      </c>
      <c r="J37" s="3">
        <v>328.04</v>
      </c>
      <c r="K37" s="3">
        <v>1.89</v>
      </c>
      <c r="L37" s="3">
        <v>1225</v>
      </c>
      <c r="M37" s="3">
        <v>87718.2</v>
      </c>
      <c r="N37" s="41"/>
    </row>
    <row r="38" spans="2:15" ht="30" customHeight="1" x14ac:dyDescent="0.25">
      <c r="B38" s="2">
        <v>36</v>
      </c>
      <c r="C38" s="4" t="s">
        <v>28</v>
      </c>
      <c r="D38" s="5">
        <v>2511</v>
      </c>
      <c r="E38" s="3">
        <v>7.89</v>
      </c>
      <c r="F38" s="3">
        <f>11802.57+152.6+6397.87+1470.68</f>
        <v>19823.72</v>
      </c>
      <c r="G38" s="3">
        <f>723633.75+27046.26+1196617.85+260659.29</f>
        <v>2207957.15</v>
      </c>
      <c r="H38" s="3">
        <v>2365</v>
      </c>
      <c r="I38" s="3">
        <v>1.5</v>
      </c>
      <c r="J38" s="3">
        <v>2466</v>
      </c>
      <c r="K38" s="3">
        <v>2.0499999999999998</v>
      </c>
      <c r="L38" s="3">
        <f>8324.69+294.14</f>
        <v>8618.83</v>
      </c>
      <c r="M38" s="3">
        <f>695076.15+89161.42</f>
        <v>784237.57000000007</v>
      </c>
      <c r="N38" s="41" t="s">
        <v>102</v>
      </c>
    </row>
    <row r="39" spans="2:15" ht="30" customHeight="1" x14ac:dyDescent="0.25">
      <c r="B39" s="2">
        <v>37</v>
      </c>
      <c r="C39" s="4" t="s">
        <v>29</v>
      </c>
      <c r="D39" s="3">
        <v>782</v>
      </c>
      <c r="E39" s="3">
        <v>4.8</v>
      </c>
      <c r="F39" s="3">
        <v>3791.35</v>
      </c>
      <c r="G39" s="3">
        <v>502724.38</v>
      </c>
      <c r="H39" s="5">
        <v>633</v>
      </c>
      <c r="I39" s="3">
        <v>0.5</v>
      </c>
      <c r="J39" s="5">
        <v>730</v>
      </c>
      <c r="K39" s="3">
        <v>0.64</v>
      </c>
      <c r="L39" s="3">
        <v>789.57</v>
      </c>
      <c r="M39" s="3">
        <v>75660.53</v>
      </c>
      <c r="N39" s="41"/>
    </row>
    <row r="40" spans="2:15" x14ac:dyDescent="0.25">
      <c r="B40" s="2">
        <v>38</v>
      </c>
      <c r="C40" s="4" t="s">
        <v>30</v>
      </c>
      <c r="D40" s="5">
        <v>603.66</v>
      </c>
      <c r="E40" s="6">
        <v>5.406155783056688</v>
      </c>
      <c r="F40" s="3">
        <v>3263.48</v>
      </c>
      <c r="G40" s="3">
        <v>417135.09</v>
      </c>
      <c r="H40" s="5">
        <v>447</v>
      </c>
      <c r="I40" s="2">
        <v>0.98</v>
      </c>
      <c r="J40" s="5">
        <v>352</v>
      </c>
      <c r="K40" s="3">
        <v>0.91</v>
      </c>
      <c r="L40" s="3">
        <v>757.28</v>
      </c>
      <c r="M40" s="3">
        <v>104913.21</v>
      </c>
      <c r="N40" s="41"/>
    </row>
    <row r="41" spans="2:15" x14ac:dyDescent="0.25">
      <c r="B41" s="2">
        <v>39</v>
      </c>
      <c r="C41" s="4" t="s">
        <v>31</v>
      </c>
      <c r="D41" s="5">
        <v>457.29</v>
      </c>
      <c r="E41" s="6">
        <v>5.6086728334317391</v>
      </c>
      <c r="F41" s="3">
        <v>2564.79</v>
      </c>
      <c r="G41" s="3">
        <f>388660.5</f>
        <v>388660.5</v>
      </c>
      <c r="H41" s="5"/>
      <c r="I41" s="3"/>
      <c r="J41" s="5"/>
      <c r="K41" s="2"/>
      <c r="L41" s="3"/>
      <c r="M41" s="3"/>
      <c r="N41" s="41"/>
    </row>
    <row r="42" spans="2:15" x14ac:dyDescent="0.25">
      <c r="B42" s="2">
        <v>40</v>
      </c>
      <c r="C42" s="4" t="s">
        <v>32</v>
      </c>
      <c r="D42" s="5">
        <v>129</v>
      </c>
      <c r="E42" s="6">
        <v>5.3958139534883713</v>
      </c>
      <c r="F42" s="3">
        <v>696.06</v>
      </c>
      <c r="G42" s="3">
        <f>86515.19</f>
        <v>86515.19</v>
      </c>
      <c r="H42" s="5">
        <v>129</v>
      </c>
      <c r="I42" s="3">
        <v>0.8</v>
      </c>
      <c r="J42" s="5">
        <v>129</v>
      </c>
      <c r="K42" s="2">
        <v>0.78</v>
      </c>
      <c r="L42" s="3">
        <v>204.09</v>
      </c>
      <c r="M42" s="3">
        <f>24176.55</f>
        <v>24176.55</v>
      </c>
      <c r="N42" s="41"/>
    </row>
    <row r="43" spans="2:15" x14ac:dyDescent="0.25">
      <c r="B43" s="2">
        <v>41</v>
      </c>
      <c r="C43" s="4" t="s">
        <v>33</v>
      </c>
      <c r="D43" s="5">
        <v>396</v>
      </c>
      <c r="E43" s="6">
        <v>4.210454545454545</v>
      </c>
      <c r="F43" s="3">
        <v>1667.34</v>
      </c>
      <c r="G43" s="3">
        <v>242260.98</v>
      </c>
      <c r="H43" s="5">
        <v>397</v>
      </c>
      <c r="I43" s="3">
        <v>0.54</v>
      </c>
      <c r="J43" s="5">
        <v>396</v>
      </c>
      <c r="K43" s="2">
        <v>0.505</v>
      </c>
      <c r="L43" s="3">
        <v>414.27</v>
      </c>
      <c r="M43" s="3">
        <v>34869.1</v>
      </c>
      <c r="N43" s="41"/>
    </row>
    <row r="44" spans="2:15" x14ac:dyDescent="0.25">
      <c r="B44" s="2">
        <v>42</v>
      </c>
      <c r="C44" s="4" t="s">
        <v>34</v>
      </c>
      <c r="D44" s="5">
        <v>186</v>
      </c>
      <c r="E44" s="6">
        <v>3.3649462365591396</v>
      </c>
      <c r="F44" s="3">
        <v>625.88</v>
      </c>
      <c r="G44" s="3">
        <v>91760.36</v>
      </c>
      <c r="H44" s="5">
        <v>165</v>
      </c>
      <c r="I44" s="3">
        <v>0.7</v>
      </c>
      <c r="J44" s="5">
        <v>185</v>
      </c>
      <c r="K44" s="2">
        <v>0.505</v>
      </c>
      <c r="L44" s="3">
        <v>209.19</v>
      </c>
      <c r="M44" s="3">
        <v>17774.560000000001</v>
      </c>
      <c r="N44" s="41"/>
    </row>
    <row r="45" spans="2:15" x14ac:dyDescent="0.25">
      <c r="B45" s="2">
        <v>43</v>
      </c>
      <c r="C45" s="4" t="s">
        <v>35</v>
      </c>
      <c r="D45" s="5">
        <v>338.8</v>
      </c>
      <c r="E45" s="6">
        <v>3.1862750885478155</v>
      </c>
      <c r="F45" s="3">
        <f>1079.51</f>
        <v>1079.51</v>
      </c>
      <c r="G45" s="3">
        <f>181182.36</f>
        <v>181182.36</v>
      </c>
      <c r="H45" s="5">
        <v>301</v>
      </c>
      <c r="I45" s="3">
        <v>0.4</v>
      </c>
      <c r="J45" s="5">
        <v>320</v>
      </c>
      <c r="K45" s="2">
        <v>0.42</v>
      </c>
      <c r="L45" s="3">
        <f>254.05</f>
        <v>254.05</v>
      </c>
      <c r="M45" s="3">
        <f>31895.38</f>
        <v>31895.38</v>
      </c>
      <c r="N45" s="41"/>
    </row>
    <row r="46" spans="2:15" x14ac:dyDescent="0.25">
      <c r="B46" s="2">
        <v>44</v>
      </c>
      <c r="C46" s="4" t="s">
        <v>36</v>
      </c>
      <c r="D46" s="5">
        <v>154</v>
      </c>
      <c r="E46" s="6">
        <v>4.7632467532467526</v>
      </c>
      <c r="F46" s="3">
        <v>733.54</v>
      </c>
      <c r="G46" s="3">
        <v>189875.27</v>
      </c>
      <c r="H46" s="5">
        <v>152</v>
      </c>
      <c r="I46" s="3">
        <v>0.57999999999999996</v>
      </c>
      <c r="J46" s="5">
        <v>154</v>
      </c>
      <c r="K46" s="2">
        <v>0.54</v>
      </c>
      <c r="L46" s="3">
        <v>171.6</v>
      </c>
      <c r="M46" s="3">
        <v>29203.64</v>
      </c>
      <c r="N46" s="41"/>
    </row>
    <row r="47" spans="2:15" x14ac:dyDescent="0.25">
      <c r="B47" s="2">
        <v>45</v>
      </c>
      <c r="C47" s="4" t="s">
        <v>37</v>
      </c>
      <c r="D47" s="5">
        <v>402</v>
      </c>
      <c r="E47" s="6">
        <v>5.4167412935323389</v>
      </c>
      <c r="F47" s="3">
        <f>2177.53</f>
        <v>2177.5300000000002</v>
      </c>
      <c r="G47" s="3">
        <f>368792.64</f>
        <v>368792.64</v>
      </c>
      <c r="H47" s="5">
        <v>402</v>
      </c>
      <c r="I47" s="3">
        <v>1.39</v>
      </c>
      <c r="J47" s="5">
        <v>389</v>
      </c>
      <c r="K47" s="2">
        <v>1.3320000000000001</v>
      </c>
      <c r="L47" s="3">
        <f>1077.95</f>
        <v>1077.95</v>
      </c>
      <c r="M47" s="3">
        <f>103641.85</f>
        <v>103641.85</v>
      </c>
      <c r="N47" s="41"/>
    </row>
    <row r="48" spans="2:15" x14ac:dyDescent="0.25">
      <c r="B48" s="2">
        <v>46</v>
      </c>
      <c r="C48" s="4" t="s">
        <v>38</v>
      </c>
      <c r="D48" s="5">
        <v>266</v>
      </c>
      <c r="E48" s="6">
        <v>4.1227443609022556</v>
      </c>
      <c r="F48" s="3">
        <v>1096.6500000000001</v>
      </c>
      <c r="G48" s="3">
        <v>321350.44</v>
      </c>
      <c r="H48" s="5">
        <v>266</v>
      </c>
      <c r="I48" s="3">
        <v>0.53</v>
      </c>
      <c r="J48" s="5">
        <v>266</v>
      </c>
      <c r="K48" s="2">
        <v>0.52</v>
      </c>
      <c r="L48" s="3">
        <v>279.74</v>
      </c>
      <c r="M48" s="3">
        <v>48340.31</v>
      </c>
      <c r="N48" s="41"/>
    </row>
    <row r="49" spans="2:14" ht="30" x14ac:dyDescent="0.25">
      <c r="B49" s="2">
        <v>47</v>
      </c>
      <c r="C49" s="4" t="s">
        <v>39</v>
      </c>
      <c r="D49" s="5">
        <v>303</v>
      </c>
      <c r="E49" s="6">
        <v>5.3310231023102306</v>
      </c>
      <c r="F49" s="3">
        <f>1615.3</f>
        <v>1615.3</v>
      </c>
      <c r="G49" s="3">
        <f>275905.76</f>
        <v>275905.76</v>
      </c>
      <c r="H49" s="5">
        <v>303</v>
      </c>
      <c r="I49" s="3">
        <v>0.5</v>
      </c>
      <c r="J49" s="5">
        <v>304</v>
      </c>
      <c r="K49" s="2">
        <v>0.83</v>
      </c>
      <c r="L49" s="3">
        <f>403.41</f>
        <v>403.41</v>
      </c>
      <c r="M49" s="3">
        <f>60985.86</f>
        <v>60985.86</v>
      </c>
      <c r="N49" s="41"/>
    </row>
    <row r="50" spans="2:14" ht="30" x14ac:dyDescent="0.25">
      <c r="B50" s="2">
        <v>48</v>
      </c>
      <c r="C50" s="4" t="s">
        <v>40</v>
      </c>
      <c r="D50" s="5">
        <v>841</v>
      </c>
      <c r="E50" s="6">
        <v>6.4313436385255649</v>
      </c>
      <c r="F50" s="3">
        <v>5408.76</v>
      </c>
      <c r="G50" s="3">
        <v>860831.46</v>
      </c>
      <c r="H50" s="5">
        <v>182</v>
      </c>
      <c r="I50" s="3">
        <v>2.35</v>
      </c>
      <c r="J50" s="5"/>
      <c r="K50" s="2"/>
      <c r="L50" s="3">
        <v>427.11</v>
      </c>
      <c r="M50" s="3">
        <v>104716.55</v>
      </c>
      <c r="N50" s="41"/>
    </row>
    <row r="51" spans="2:14" x14ac:dyDescent="0.25">
      <c r="B51" s="2">
        <v>49</v>
      </c>
      <c r="C51" s="4" t="s">
        <v>41</v>
      </c>
      <c r="D51" s="5">
        <v>448</v>
      </c>
      <c r="E51" s="6">
        <v>7.13</v>
      </c>
      <c r="F51" s="3">
        <v>3197.01</v>
      </c>
      <c r="G51" s="3">
        <v>622533.15</v>
      </c>
      <c r="H51" s="5">
        <v>448</v>
      </c>
      <c r="I51" s="3">
        <v>2.2200000000000002</v>
      </c>
      <c r="J51" s="5">
        <v>441</v>
      </c>
      <c r="K51" s="2">
        <v>2.4</v>
      </c>
      <c r="L51" s="3">
        <v>2055.64</v>
      </c>
      <c r="M51" s="3">
        <v>163264.09</v>
      </c>
      <c r="N51" s="41"/>
    </row>
    <row r="52" spans="2:14" x14ac:dyDescent="0.25">
      <c r="B52" s="2">
        <v>50</v>
      </c>
      <c r="C52" s="4" t="s">
        <v>42</v>
      </c>
      <c r="D52" s="5">
        <v>455.5</v>
      </c>
      <c r="E52" s="6">
        <v>5.5088693743139405</v>
      </c>
      <c r="F52" s="3">
        <v>2509.29</v>
      </c>
      <c r="G52" s="3">
        <v>464167.1</v>
      </c>
      <c r="H52" s="5">
        <v>343</v>
      </c>
      <c r="I52" s="3">
        <v>0.9</v>
      </c>
      <c r="J52" s="5">
        <v>150</v>
      </c>
      <c r="K52" s="2">
        <v>1.4</v>
      </c>
      <c r="L52" s="3">
        <v>519.36</v>
      </c>
      <c r="M52" s="3">
        <v>75673.39</v>
      </c>
      <c r="N52" s="41"/>
    </row>
    <row r="53" spans="2:14" x14ac:dyDescent="0.25">
      <c r="B53" s="2">
        <v>51</v>
      </c>
      <c r="C53" s="4" t="s">
        <v>43</v>
      </c>
      <c r="D53" s="5">
        <v>220</v>
      </c>
      <c r="E53" s="6">
        <v>5.67</v>
      </c>
      <c r="F53" s="3">
        <v>1246.46</v>
      </c>
      <c r="G53" s="3">
        <v>172957.13</v>
      </c>
      <c r="H53" s="5">
        <v>49</v>
      </c>
      <c r="I53" s="3">
        <v>1</v>
      </c>
      <c r="J53" s="5">
        <v>37</v>
      </c>
      <c r="K53" s="2">
        <v>1.65</v>
      </c>
      <c r="L53" s="3">
        <v>109.76</v>
      </c>
      <c r="M53" s="3">
        <v>32589.360000000001</v>
      </c>
      <c r="N53" s="41"/>
    </row>
    <row r="54" spans="2:14" x14ac:dyDescent="0.25">
      <c r="B54" s="2">
        <v>52</v>
      </c>
      <c r="C54" s="4" t="s">
        <v>44</v>
      </c>
      <c r="D54" s="5">
        <v>246</v>
      </c>
      <c r="E54" s="6">
        <v>5.2458943089430896</v>
      </c>
      <c r="F54" s="3">
        <v>1290.49</v>
      </c>
      <c r="G54" s="3">
        <v>241956.84</v>
      </c>
      <c r="H54" s="5">
        <v>16</v>
      </c>
      <c r="I54" s="3">
        <v>1.3</v>
      </c>
      <c r="J54" s="5">
        <v>31</v>
      </c>
      <c r="K54" s="2">
        <v>1.23</v>
      </c>
      <c r="L54" s="3">
        <v>59.05</v>
      </c>
      <c r="M54" s="3">
        <v>30732.74</v>
      </c>
      <c r="N54" s="41"/>
    </row>
    <row r="55" spans="2:14" ht="30" x14ac:dyDescent="0.25">
      <c r="B55" s="2">
        <v>53</v>
      </c>
      <c r="C55" s="4" t="s">
        <v>45</v>
      </c>
      <c r="D55" s="5"/>
      <c r="E55" s="6"/>
      <c r="F55" s="3"/>
      <c r="G55" s="3"/>
      <c r="H55" s="5">
        <v>579</v>
      </c>
      <c r="I55" s="3">
        <v>5.4</v>
      </c>
      <c r="J55" s="5"/>
      <c r="L55" s="3">
        <v>3126.73</v>
      </c>
      <c r="M55" s="3">
        <v>288925.65000000002</v>
      </c>
      <c r="N55" s="41"/>
    </row>
    <row r="56" spans="2:14" ht="30" x14ac:dyDescent="0.25">
      <c r="B56" s="2">
        <v>54</v>
      </c>
      <c r="C56" s="4" t="s">
        <v>46</v>
      </c>
      <c r="D56" s="5">
        <v>530</v>
      </c>
      <c r="E56" s="6">
        <v>6.7107547169811319</v>
      </c>
      <c r="F56" s="3">
        <v>3556.7</v>
      </c>
      <c r="G56" s="3">
        <v>615391.61</v>
      </c>
      <c r="H56" s="7">
        <v>396</v>
      </c>
      <c r="I56" s="3">
        <v>1.51</v>
      </c>
      <c r="J56" s="5">
        <v>327</v>
      </c>
      <c r="K56" s="3">
        <v>1.7</v>
      </c>
      <c r="L56" s="3">
        <v>1153.75</v>
      </c>
      <c r="M56" s="3">
        <v>147434.79</v>
      </c>
      <c r="N56" s="41"/>
    </row>
    <row r="57" spans="2:14" x14ac:dyDescent="0.25">
      <c r="B57" s="2">
        <v>55</v>
      </c>
      <c r="C57" s="4" t="s">
        <v>47</v>
      </c>
      <c r="D57" s="5">
        <v>258</v>
      </c>
      <c r="E57" s="6">
        <v>7.4160077519379843</v>
      </c>
      <c r="F57" s="3">
        <v>1913.33</v>
      </c>
      <c r="G57" s="3">
        <v>374227.71</v>
      </c>
      <c r="H57" s="5">
        <v>240</v>
      </c>
      <c r="I57" s="3">
        <v>2.68</v>
      </c>
      <c r="J57" s="5">
        <v>251</v>
      </c>
      <c r="K57" s="3">
        <v>2.8</v>
      </c>
      <c r="L57" s="3">
        <v>1346.68</v>
      </c>
      <c r="M57" s="3">
        <v>120286.43</v>
      </c>
      <c r="N57" s="41"/>
    </row>
    <row r="58" spans="2:14" x14ac:dyDescent="0.25">
      <c r="B58" s="2">
        <v>56</v>
      </c>
      <c r="C58" s="4" t="s">
        <v>48</v>
      </c>
      <c r="D58" s="5">
        <v>260</v>
      </c>
      <c r="E58" s="6">
        <v>7.4623461538461537</v>
      </c>
      <c r="F58" s="3">
        <v>1940.21</v>
      </c>
      <c r="G58" s="3">
        <v>397592.16</v>
      </c>
      <c r="H58" s="5">
        <v>243</v>
      </c>
      <c r="I58" s="3">
        <v>2.8</v>
      </c>
      <c r="J58" s="5">
        <v>243</v>
      </c>
      <c r="K58" s="3">
        <v>2.86</v>
      </c>
      <c r="L58" s="3">
        <v>1375.69</v>
      </c>
      <c r="M58" s="3">
        <v>130868.87</v>
      </c>
      <c r="N58" s="41"/>
    </row>
    <row r="59" spans="2:14" x14ac:dyDescent="0.25">
      <c r="B59" s="2">
        <v>57</v>
      </c>
      <c r="C59" s="4" t="s">
        <v>49</v>
      </c>
      <c r="D59" s="5">
        <v>365</v>
      </c>
      <c r="E59" s="6">
        <v>5.0391232876712326</v>
      </c>
      <c r="F59" s="3">
        <v>1839.28</v>
      </c>
      <c r="G59" s="3">
        <v>328795.06</v>
      </c>
      <c r="H59" s="5">
        <v>365</v>
      </c>
      <c r="I59" s="3">
        <v>1.393</v>
      </c>
      <c r="J59" s="5">
        <v>365</v>
      </c>
      <c r="K59" s="3">
        <v>1.27</v>
      </c>
      <c r="L59" s="3">
        <v>972.02</v>
      </c>
      <c r="M59" s="3">
        <v>90136.6</v>
      </c>
      <c r="N59" s="41"/>
    </row>
    <row r="60" spans="2:14" x14ac:dyDescent="0.25">
      <c r="B60" s="2">
        <v>58</v>
      </c>
      <c r="C60" s="4" t="s">
        <v>50</v>
      </c>
      <c r="D60" s="5">
        <v>373</v>
      </c>
      <c r="E60" s="6">
        <v>6.7891957104557639</v>
      </c>
      <c r="F60" s="3">
        <v>2532.37</v>
      </c>
      <c r="G60" s="3">
        <v>435829.6</v>
      </c>
      <c r="H60" s="5">
        <v>373</v>
      </c>
      <c r="I60" s="3">
        <v>1.4</v>
      </c>
      <c r="J60" s="5">
        <v>345</v>
      </c>
      <c r="K60" s="3">
        <v>1.51</v>
      </c>
      <c r="L60" s="3">
        <v>1041.1500000000001</v>
      </c>
      <c r="M60" s="3">
        <v>93770.89</v>
      </c>
      <c r="N60" s="41"/>
    </row>
    <row r="61" spans="2:14" x14ac:dyDescent="0.25">
      <c r="B61" s="2">
        <v>59</v>
      </c>
      <c r="C61" s="4" t="s">
        <v>51</v>
      </c>
      <c r="D61" s="5">
        <v>208</v>
      </c>
      <c r="E61" s="6">
        <v>5.389326923076923</v>
      </c>
      <c r="F61" s="3">
        <v>1120.98</v>
      </c>
      <c r="G61" s="3">
        <v>172060.63</v>
      </c>
      <c r="H61" s="5">
        <v>204</v>
      </c>
      <c r="I61" s="3">
        <v>0.77</v>
      </c>
      <c r="J61" s="5">
        <v>198</v>
      </c>
      <c r="K61" s="3">
        <v>0.51</v>
      </c>
      <c r="L61" s="3">
        <v>259.54000000000002</v>
      </c>
      <c r="M61" s="3">
        <v>39610.61</v>
      </c>
      <c r="N61" s="41"/>
    </row>
    <row r="62" spans="2:14" x14ac:dyDescent="0.25">
      <c r="B62" s="2">
        <v>60</v>
      </c>
      <c r="C62" s="4" t="s">
        <v>52</v>
      </c>
      <c r="D62" s="5">
        <v>227</v>
      </c>
      <c r="E62" s="6">
        <v>3.9125110132158589</v>
      </c>
      <c r="F62" s="3">
        <v>888.14</v>
      </c>
      <c r="G62" s="3">
        <v>185188.41</v>
      </c>
      <c r="H62" s="5">
        <v>105</v>
      </c>
      <c r="I62" s="3">
        <v>0.53</v>
      </c>
      <c r="J62" s="5">
        <v>82</v>
      </c>
      <c r="K62" s="3">
        <v>0.45</v>
      </c>
      <c r="L62" s="3">
        <v>93.28</v>
      </c>
      <c r="M62" s="3">
        <v>11438.91</v>
      </c>
      <c r="N62" s="41"/>
    </row>
    <row r="63" spans="2:14" x14ac:dyDescent="0.25">
      <c r="B63" s="2">
        <v>61</v>
      </c>
      <c r="C63" s="4" t="s">
        <v>53</v>
      </c>
      <c r="D63" s="5">
        <v>475</v>
      </c>
      <c r="E63" s="6">
        <v>5.8346315789473682</v>
      </c>
      <c r="F63" s="3">
        <f>2771.45</f>
        <v>2771.45</v>
      </c>
      <c r="G63" s="3">
        <f>418791.42</f>
        <v>418791.42</v>
      </c>
      <c r="H63" s="5">
        <v>469</v>
      </c>
      <c r="I63" s="3">
        <v>0.91</v>
      </c>
      <c r="J63" s="5">
        <v>447</v>
      </c>
      <c r="K63" s="3">
        <v>1.23</v>
      </c>
      <c r="L63" s="3">
        <f>68.54+910.82</f>
        <v>979.36</v>
      </c>
      <c r="M63" s="3">
        <f>100055.16+26668.81</f>
        <v>126723.97</v>
      </c>
      <c r="N63" s="41"/>
    </row>
    <row r="64" spans="2:14" x14ac:dyDescent="0.25">
      <c r="B64" s="2">
        <v>62</v>
      </c>
      <c r="C64" s="4" t="s">
        <v>54</v>
      </c>
      <c r="D64" s="5">
        <v>148</v>
      </c>
      <c r="E64" s="6">
        <v>5.5783108108108106</v>
      </c>
      <c r="F64" s="3">
        <v>825.59</v>
      </c>
      <c r="G64" s="3">
        <v>170663.16</v>
      </c>
      <c r="H64" s="5">
        <v>148</v>
      </c>
      <c r="I64" s="3">
        <v>1.32</v>
      </c>
      <c r="J64" s="5">
        <v>148</v>
      </c>
      <c r="K64" s="3">
        <v>1.7</v>
      </c>
      <c r="L64" s="3">
        <v>446.73</v>
      </c>
      <c r="M64" s="3">
        <v>40369.15</v>
      </c>
      <c r="N64" s="41"/>
    </row>
    <row r="65" spans="2:14" x14ac:dyDescent="0.25">
      <c r="B65" s="2">
        <v>63</v>
      </c>
      <c r="C65" s="4" t="s">
        <v>55</v>
      </c>
      <c r="D65" s="5">
        <v>171</v>
      </c>
      <c r="E65" s="6">
        <v>5.4444444444444446</v>
      </c>
      <c r="F65" s="3">
        <v>931</v>
      </c>
      <c r="G65" s="3">
        <v>175238.52</v>
      </c>
      <c r="H65" s="5">
        <v>171</v>
      </c>
      <c r="I65" s="3">
        <v>1.8</v>
      </c>
      <c r="J65" s="5">
        <v>171</v>
      </c>
      <c r="K65" s="3">
        <v>1.72</v>
      </c>
      <c r="L65" s="3">
        <v>602.85</v>
      </c>
      <c r="M65" s="3">
        <v>52438.41</v>
      </c>
      <c r="N65" s="41"/>
    </row>
    <row r="66" spans="2:14" x14ac:dyDescent="0.25">
      <c r="B66" s="2">
        <v>64</v>
      </c>
      <c r="C66" s="4" t="s">
        <v>56</v>
      </c>
      <c r="D66" s="5">
        <v>118</v>
      </c>
      <c r="E66" s="6">
        <v>7.2504237288135593</v>
      </c>
      <c r="F66" s="3">
        <v>855.55</v>
      </c>
      <c r="G66" s="3">
        <v>189896.24</v>
      </c>
      <c r="H66" s="5">
        <v>120</v>
      </c>
      <c r="I66" s="3">
        <v>2.34</v>
      </c>
      <c r="J66" s="5">
        <v>117</v>
      </c>
      <c r="K66" s="3">
        <v>1.5</v>
      </c>
      <c r="L66" s="3">
        <v>456.23</v>
      </c>
      <c r="M66" s="3">
        <v>37922.76</v>
      </c>
      <c r="N66" s="41"/>
    </row>
    <row r="67" spans="2:14" x14ac:dyDescent="0.25">
      <c r="B67" s="2">
        <v>65</v>
      </c>
      <c r="C67" s="4" t="s">
        <v>57</v>
      </c>
      <c r="D67" s="5">
        <v>236</v>
      </c>
      <c r="E67" s="6">
        <v>5.1289830508474576</v>
      </c>
      <c r="F67" s="3">
        <v>1210.44</v>
      </c>
      <c r="G67" s="3">
        <v>199188.99</v>
      </c>
      <c r="H67" s="5"/>
      <c r="I67" s="3"/>
      <c r="J67" s="5"/>
      <c r="K67" s="3"/>
      <c r="L67" s="3"/>
      <c r="M67" s="3"/>
      <c r="N67" s="41"/>
    </row>
    <row r="68" spans="2:14" ht="30" x14ac:dyDescent="0.25">
      <c r="B68" s="2">
        <v>66</v>
      </c>
      <c r="C68" s="4" t="s">
        <v>103</v>
      </c>
      <c r="D68" s="5">
        <v>207</v>
      </c>
      <c r="E68" s="6">
        <v>5.2548309178743962</v>
      </c>
      <c r="F68" s="3">
        <v>1087.75</v>
      </c>
      <c r="G68" s="3">
        <v>203568.13</v>
      </c>
      <c r="H68" s="5">
        <v>104</v>
      </c>
      <c r="I68" s="3">
        <v>2</v>
      </c>
      <c r="J68" s="5">
        <v>98</v>
      </c>
      <c r="K68" s="3">
        <v>2.1</v>
      </c>
      <c r="L68" s="3">
        <v>413.4</v>
      </c>
      <c r="M68" s="3">
        <v>49576.5</v>
      </c>
      <c r="N68" s="41"/>
    </row>
    <row r="69" spans="2:14" x14ac:dyDescent="0.25">
      <c r="B69" s="2">
        <v>67</v>
      </c>
      <c r="C69" s="4" t="s">
        <v>58</v>
      </c>
      <c r="D69" s="5">
        <v>98</v>
      </c>
      <c r="E69" s="6">
        <v>6.0302040816326539</v>
      </c>
      <c r="F69" s="3">
        <v>590.96</v>
      </c>
      <c r="G69" s="3">
        <v>123904.13</v>
      </c>
      <c r="H69" s="5">
        <v>98</v>
      </c>
      <c r="I69" s="3">
        <v>1.7</v>
      </c>
      <c r="J69" s="5">
        <v>98</v>
      </c>
      <c r="K69" s="3">
        <v>1.92</v>
      </c>
      <c r="L69" s="3">
        <v>354.44</v>
      </c>
      <c r="M69" s="3">
        <v>30545.759999999998</v>
      </c>
      <c r="N69" s="41"/>
    </row>
    <row r="70" spans="2:14" x14ac:dyDescent="0.25">
      <c r="B70" s="2">
        <v>68</v>
      </c>
      <c r="C70" s="4" t="s">
        <v>104</v>
      </c>
      <c r="D70" s="5">
        <v>316</v>
      </c>
      <c r="E70" s="6">
        <v>5.9952215189873419</v>
      </c>
      <c r="F70" s="3">
        <v>1894.49</v>
      </c>
      <c r="G70" s="3">
        <v>336229.49</v>
      </c>
      <c r="H70" s="5">
        <v>274</v>
      </c>
      <c r="I70" s="3">
        <v>1.46</v>
      </c>
      <c r="J70" s="5"/>
      <c r="K70" s="3"/>
      <c r="L70" s="3">
        <v>399.01</v>
      </c>
      <c r="M70" s="3">
        <v>55123.26</v>
      </c>
      <c r="N70" s="41"/>
    </row>
    <row r="71" spans="2:14" x14ac:dyDescent="0.25">
      <c r="B71" s="2">
        <v>69</v>
      </c>
      <c r="C71" s="4" t="s">
        <v>59</v>
      </c>
      <c r="D71" s="5"/>
      <c r="E71" s="6"/>
      <c r="F71" s="3">
        <v>2148.4299999999998</v>
      </c>
      <c r="G71" s="3">
        <v>322572.96999999997</v>
      </c>
      <c r="H71" s="3"/>
      <c r="I71" s="3"/>
      <c r="J71" s="3"/>
      <c r="K71" s="3"/>
      <c r="L71" s="3">
        <v>1398.99</v>
      </c>
      <c r="M71" s="3">
        <v>121988.86</v>
      </c>
      <c r="N71" s="41"/>
    </row>
    <row r="72" spans="2:14" x14ac:dyDescent="0.25">
      <c r="B72" s="2">
        <v>70</v>
      </c>
      <c r="C72" s="4" t="s">
        <v>60</v>
      </c>
      <c r="D72" s="5">
        <v>1100</v>
      </c>
      <c r="E72" s="6">
        <v>6.3895999999999997</v>
      </c>
      <c r="F72" s="3">
        <f>6630.37+398.19</f>
        <v>7028.5599999999995</v>
      </c>
      <c r="G72" s="3">
        <f>961529.34+65515.63</f>
        <v>1027044.97</v>
      </c>
      <c r="H72" s="5">
        <v>504</v>
      </c>
      <c r="I72" s="3">
        <v>1.5</v>
      </c>
      <c r="J72" s="5">
        <v>405</v>
      </c>
      <c r="K72" s="3">
        <v>1.39</v>
      </c>
      <c r="L72" s="3">
        <v>1318.49</v>
      </c>
      <c r="M72" s="3">
        <v>155969.59</v>
      </c>
      <c r="N72" s="41"/>
    </row>
    <row r="73" spans="2:14" x14ac:dyDescent="0.25">
      <c r="B73" s="2">
        <v>71</v>
      </c>
      <c r="C73" s="4" t="s">
        <v>61</v>
      </c>
      <c r="D73" s="5">
        <v>102</v>
      </c>
      <c r="E73" s="6">
        <v>8.7420588235294119</v>
      </c>
      <c r="F73" s="3">
        <v>891.69</v>
      </c>
      <c r="G73" s="3">
        <v>169137.92000000001</v>
      </c>
      <c r="H73" s="5">
        <v>76</v>
      </c>
      <c r="I73" s="3">
        <v>1.64</v>
      </c>
      <c r="J73" s="5">
        <v>47</v>
      </c>
      <c r="K73" s="14">
        <v>0.8</v>
      </c>
      <c r="L73" s="3">
        <v>161.32</v>
      </c>
      <c r="M73" s="3">
        <v>21866.52</v>
      </c>
      <c r="N73" s="41"/>
    </row>
    <row r="74" spans="2:14" x14ac:dyDescent="0.25">
      <c r="B74" s="2">
        <v>72</v>
      </c>
      <c r="C74" s="4" t="s">
        <v>62</v>
      </c>
      <c r="D74" s="5">
        <v>738</v>
      </c>
      <c r="E74" s="6">
        <v>6.7219783197831973</v>
      </c>
      <c r="F74" s="3">
        <f>4960.82</f>
        <v>4960.82</v>
      </c>
      <c r="G74" s="3">
        <f>730268.3</f>
        <v>730268.3</v>
      </c>
      <c r="H74" s="12">
        <v>705</v>
      </c>
      <c r="I74" s="3">
        <v>1.85</v>
      </c>
      <c r="J74" s="5">
        <v>705</v>
      </c>
      <c r="K74" s="14">
        <v>1.8</v>
      </c>
      <c r="L74" s="3">
        <v>2575.2600000000002</v>
      </c>
      <c r="M74" s="3">
        <v>223494.09</v>
      </c>
      <c r="N74" s="41"/>
    </row>
    <row r="75" spans="2:14" x14ac:dyDescent="0.25">
      <c r="B75" s="2">
        <v>73</v>
      </c>
      <c r="C75" s="4" t="s">
        <v>63</v>
      </c>
      <c r="D75" s="5"/>
      <c r="E75" s="6"/>
      <c r="F75" s="3"/>
      <c r="G75" s="3"/>
      <c r="H75" s="12">
        <v>720</v>
      </c>
      <c r="I75" s="3">
        <v>1.1000000000000001</v>
      </c>
      <c r="J75" s="5">
        <v>256</v>
      </c>
      <c r="K75" s="14">
        <v>3</v>
      </c>
      <c r="L75" s="3">
        <v>1563.41</v>
      </c>
      <c r="M75" s="3">
        <v>152417.1</v>
      </c>
      <c r="N75" s="41"/>
    </row>
    <row r="76" spans="2:14" ht="30" customHeight="1" x14ac:dyDescent="0.25">
      <c r="B76" s="2">
        <v>74</v>
      </c>
      <c r="C76" s="4" t="s">
        <v>64</v>
      </c>
      <c r="D76" s="5">
        <v>468</v>
      </c>
      <c r="E76" s="6">
        <v>6.1260683760683765</v>
      </c>
      <c r="F76" s="3">
        <v>2867</v>
      </c>
      <c r="G76" s="3">
        <v>467199.44</v>
      </c>
      <c r="H76" s="12">
        <v>507</v>
      </c>
      <c r="I76" s="3">
        <v>1.84</v>
      </c>
      <c r="J76" s="5">
        <v>549</v>
      </c>
      <c r="K76" s="14">
        <v>1.9</v>
      </c>
      <c r="L76" s="3">
        <v>1974.85</v>
      </c>
      <c r="M76" s="3">
        <v>205216.77</v>
      </c>
      <c r="N76" s="41"/>
    </row>
    <row r="77" spans="2:14" x14ac:dyDescent="0.25">
      <c r="B77" s="2">
        <v>75</v>
      </c>
      <c r="C77" s="4" t="s">
        <v>65</v>
      </c>
      <c r="D77" s="5">
        <v>216</v>
      </c>
      <c r="E77" s="6">
        <v>5.3398148148148152</v>
      </c>
      <c r="F77" s="3">
        <v>1153.4000000000001</v>
      </c>
      <c r="G77" s="3">
        <v>250916.84</v>
      </c>
      <c r="H77" s="12">
        <v>210</v>
      </c>
      <c r="I77" s="3">
        <v>1.7</v>
      </c>
      <c r="J77" s="5">
        <v>205</v>
      </c>
      <c r="K77" s="14">
        <v>1.42</v>
      </c>
      <c r="L77" s="3">
        <v>649.34</v>
      </c>
      <c r="M77" s="3">
        <v>58251.040000000001</v>
      </c>
      <c r="N77" s="41"/>
    </row>
    <row r="78" spans="2:14" ht="30" x14ac:dyDescent="0.25">
      <c r="B78" s="2">
        <v>76</v>
      </c>
      <c r="C78" s="4" t="s">
        <v>66</v>
      </c>
      <c r="D78" s="5">
        <v>330</v>
      </c>
      <c r="E78" s="6">
        <v>6.0237272727272728</v>
      </c>
      <c r="F78" s="3">
        <v>1987.83</v>
      </c>
      <c r="G78" s="3">
        <v>411053.19</v>
      </c>
      <c r="H78" s="12">
        <v>330</v>
      </c>
      <c r="I78" s="3">
        <v>1.67</v>
      </c>
      <c r="J78" s="5">
        <v>330</v>
      </c>
      <c r="K78" s="14">
        <v>1.6</v>
      </c>
      <c r="L78" s="3">
        <v>1079.68</v>
      </c>
      <c r="M78" s="3">
        <v>96193.46</v>
      </c>
      <c r="N78" s="41"/>
    </row>
    <row r="79" spans="2:14" x14ac:dyDescent="0.25">
      <c r="B79" s="2">
        <v>77</v>
      </c>
      <c r="C79" s="4" t="s">
        <v>67</v>
      </c>
      <c r="D79" s="5">
        <v>370</v>
      </c>
      <c r="E79" s="6">
        <v>4.7241081081081084</v>
      </c>
      <c r="F79" s="3">
        <v>1747.92</v>
      </c>
      <c r="G79" s="3">
        <v>234592.32</v>
      </c>
      <c r="H79" s="7"/>
      <c r="J79" s="7"/>
      <c r="K79" s="14"/>
      <c r="L79" s="3"/>
      <c r="M79" s="3"/>
      <c r="N79" s="41"/>
    </row>
    <row r="80" spans="2:14" x14ac:dyDescent="0.25">
      <c r="B80" s="2">
        <v>78</v>
      </c>
      <c r="C80" s="4" t="s">
        <v>68</v>
      </c>
      <c r="D80" s="5">
        <v>1211</v>
      </c>
      <c r="E80" s="6">
        <v>5.4702229562345162</v>
      </c>
      <c r="F80" s="3">
        <f>6054.44+570</f>
        <v>6624.44</v>
      </c>
      <c r="G80" s="3">
        <f>886197.21+56367.3</f>
        <v>942564.51</v>
      </c>
      <c r="H80" s="12">
        <v>460</v>
      </c>
      <c r="I80" s="2">
        <v>1.57</v>
      </c>
      <c r="J80" s="5">
        <v>250</v>
      </c>
      <c r="K80" s="1">
        <v>1.35</v>
      </c>
      <c r="L80" s="3">
        <v>1060.5899999999999</v>
      </c>
      <c r="M80" s="3">
        <v>99390.61</v>
      </c>
      <c r="N80" s="41"/>
    </row>
    <row r="81" spans="2:14" x14ac:dyDescent="0.25">
      <c r="B81" s="2">
        <v>79</v>
      </c>
      <c r="C81" s="4" t="s">
        <v>69</v>
      </c>
      <c r="D81" s="5">
        <v>142</v>
      </c>
      <c r="E81" s="6">
        <v>5.3139436619718312</v>
      </c>
      <c r="F81" s="3">
        <v>754.58</v>
      </c>
      <c r="G81" s="3">
        <v>135815.67000000001</v>
      </c>
      <c r="H81" s="5">
        <v>142</v>
      </c>
      <c r="I81" s="3">
        <v>1.48</v>
      </c>
      <c r="J81" s="5">
        <v>141</v>
      </c>
      <c r="K81" s="14">
        <v>1.19</v>
      </c>
      <c r="L81" s="3">
        <v>377.09</v>
      </c>
      <c r="M81" s="3">
        <v>35961.33</v>
      </c>
      <c r="N81" s="41"/>
    </row>
    <row r="82" spans="2:14" x14ac:dyDescent="0.25">
      <c r="B82" s="2">
        <v>80</v>
      </c>
      <c r="C82" s="4" t="s">
        <v>70</v>
      </c>
      <c r="D82" s="5">
        <v>164</v>
      </c>
      <c r="E82" s="6">
        <v>5.5177439024390242</v>
      </c>
      <c r="F82" s="3">
        <v>904.91</v>
      </c>
      <c r="G82" s="13">
        <v>100351.57</v>
      </c>
      <c r="H82" s="5">
        <v>164</v>
      </c>
      <c r="I82" s="3">
        <v>1.8</v>
      </c>
      <c r="J82" s="5">
        <v>164</v>
      </c>
      <c r="K82" s="14">
        <v>1.46</v>
      </c>
      <c r="L82" s="3">
        <v>534.23</v>
      </c>
      <c r="M82" s="3">
        <v>47275.35</v>
      </c>
      <c r="N82" s="41"/>
    </row>
    <row r="83" spans="2:14" x14ac:dyDescent="0.25">
      <c r="B83" s="2">
        <v>81</v>
      </c>
      <c r="C83" s="4" t="s">
        <v>71</v>
      </c>
      <c r="D83" s="5">
        <v>740</v>
      </c>
      <c r="E83" s="6">
        <v>6.3450810810810809</v>
      </c>
      <c r="F83" s="3">
        <v>4695.3599999999997</v>
      </c>
      <c r="G83" s="13">
        <v>864713.32</v>
      </c>
      <c r="H83" s="5">
        <v>731</v>
      </c>
      <c r="I83" s="3">
        <v>1.17</v>
      </c>
      <c r="J83" s="5">
        <v>892</v>
      </c>
      <c r="K83" s="14">
        <v>2.0510000000000002</v>
      </c>
      <c r="L83" s="3">
        <v>2689.07</v>
      </c>
      <c r="M83" s="3">
        <v>231728.38</v>
      </c>
      <c r="N83" s="41"/>
    </row>
    <row r="84" spans="2:14" x14ac:dyDescent="0.25">
      <c r="B84" s="2">
        <v>82</v>
      </c>
      <c r="C84" s="4" t="s">
        <v>72</v>
      </c>
      <c r="D84" s="5">
        <v>191</v>
      </c>
      <c r="E84" s="6">
        <v>6.2071727748691092</v>
      </c>
      <c r="F84" s="3">
        <v>1185.57</v>
      </c>
      <c r="G84" s="13">
        <v>230431.38</v>
      </c>
      <c r="H84" s="5">
        <v>187</v>
      </c>
      <c r="I84" s="3">
        <v>1.6</v>
      </c>
      <c r="J84" s="5">
        <v>187</v>
      </c>
      <c r="K84" s="14">
        <v>1.2</v>
      </c>
      <c r="L84" s="3">
        <v>524.79</v>
      </c>
      <c r="M84" s="3">
        <v>49037.04</v>
      </c>
      <c r="N84" s="41"/>
    </row>
    <row r="85" spans="2:14" x14ac:dyDescent="0.25">
      <c r="B85" s="2">
        <v>83</v>
      </c>
      <c r="C85" s="4" t="s">
        <v>73</v>
      </c>
      <c r="D85" s="5">
        <v>345</v>
      </c>
      <c r="E85" s="6">
        <v>7.1447536231884063</v>
      </c>
      <c r="F85" s="3">
        <v>2464.94</v>
      </c>
      <c r="G85" s="13">
        <v>499492.67</v>
      </c>
      <c r="H85" s="5">
        <v>342</v>
      </c>
      <c r="I85" s="3">
        <v>1.38</v>
      </c>
      <c r="J85" s="5">
        <v>342</v>
      </c>
      <c r="K85" s="14">
        <v>1.74</v>
      </c>
      <c r="L85" s="3">
        <v>1066.8699999999999</v>
      </c>
      <c r="M85" s="3">
        <v>96223.5</v>
      </c>
      <c r="N85" s="41"/>
    </row>
    <row r="86" spans="2:14" x14ac:dyDescent="0.25">
      <c r="B86" s="2">
        <v>84</v>
      </c>
      <c r="C86" s="4" t="s">
        <v>74</v>
      </c>
      <c r="D86" s="5">
        <v>239</v>
      </c>
      <c r="E86" s="6">
        <v>6.0759832635983271</v>
      </c>
      <c r="F86" s="3">
        <v>1452.16</v>
      </c>
      <c r="G86" s="13">
        <v>274050.28999999998</v>
      </c>
      <c r="H86" s="5">
        <v>215</v>
      </c>
      <c r="I86" s="3">
        <v>1.53</v>
      </c>
      <c r="J86" s="5">
        <v>215</v>
      </c>
      <c r="K86" s="14">
        <v>1.25</v>
      </c>
      <c r="L86" s="3">
        <v>599.97</v>
      </c>
      <c r="M86" s="3">
        <v>57103.199999999997</v>
      </c>
      <c r="N86" s="41"/>
    </row>
    <row r="87" spans="2:14" x14ac:dyDescent="0.25">
      <c r="B87" s="2">
        <v>85</v>
      </c>
      <c r="C87" s="4" t="s">
        <v>75</v>
      </c>
      <c r="D87" s="5">
        <v>415</v>
      </c>
      <c r="E87" s="6">
        <v>6.5098313253012048</v>
      </c>
      <c r="F87" s="3">
        <v>2701.58</v>
      </c>
      <c r="G87" s="13">
        <v>485007.47</v>
      </c>
      <c r="H87" s="5">
        <v>389</v>
      </c>
      <c r="I87" s="3">
        <v>1.6</v>
      </c>
      <c r="J87" s="5">
        <v>392</v>
      </c>
      <c r="K87" s="14">
        <v>1.17</v>
      </c>
      <c r="L87" s="3">
        <v>1081.3399999999999</v>
      </c>
      <c r="M87" s="3">
        <v>119035.65</v>
      </c>
      <c r="N87" s="41"/>
    </row>
    <row r="88" spans="2:14" x14ac:dyDescent="0.25">
      <c r="B88" s="2">
        <v>86</v>
      </c>
      <c r="C88" s="4" t="s">
        <v>76</v>
      </c>
      <c r="D88" s="5">
        <v>172</v>
      </c>
      <c r="E88" s="6">
        <v>5.9845348837209293</v>
      </c>
      <c r="F88" s="3">
        <v>1029.3399999999999</v>
      </c>
      <c r="G88" s="13">
        <v>151476.38</v>
      </c>
      <c r="H88" s="5">
        <v>173</v>
      </c>
      <c r="I88" s="3">
        <v>1</v>
      </c>
      <c r="J88" s="5">
        <v>180</v>
      </c>
      <c r="K88" s="14">
        <v>1.01</v>
      </c>
      <c r="L88" s="3">
        <v>355.86</v>
      </c>
      <c r="M88" s="3">
        <v>38088.1</v>
      </c>
      <c r="N88" s="41"/>
    </row>
    <row r="89" spans="2:14" x14ac:dyDescent="0.25">
      <c r="B89" s="2">
        <v>87</v>
      </c>
      <c r="C89" s="4" t="s">
        <v>77</v>
      </c>
      <c r="D89" s="5">
        <v>78</v>
      </c>
      <c r="E89" s="6">
        <v>5.05</v>
      </c>
      <c r="F89" s="3">
        <v>394.22</v>
      </c>
      <c r="G89" s="13">
        <v>70775.95</v>
      </c>
      <c r="H89" s="5">
        <v>83</v>
      </c>
      <c r="I89" s="3">
        <v>1.1000000000000001</v>
      </c>
      <c r="J89" s="5">
        <v>78</v>
      </c>
      <c r="K89" s="14">
        <v>1.42</v>
      </c>
      <c r="L89" s="3">
        <v>202.89</v>
      </c>
      <c r="M89" s="3">
        <v>20012.47</v>
      </c>
      <c r="N89" s="41"/>
    </row>
    <row r="90" spans="2:14" x14ac:dyDescent="0.25">
      <c r="B90" s="2">
        <v>88</v>
      </c>
      <c r="C90" s="4" t="s">
        <v>78</v>
      </c>
      <c r="D90" s="5">
        <v>118</v>
      </c>
      <c r="E90" s="6">
        <v>6.4466949152542377</v>
      </c>
      <c r="F90" s="3">
        <v>760.71</v>
      </c>
      <c r="G90" s="13">
        <v>131226.64000000001</v>
      </c>
      <c r="H90" s="5">
        <v>118</v>
      </c>
      <c r="I90" s="3">
        <v>1.75</v>
      </c>
      <c r="J90" s="5">
        <v>119</v>
      </c>
      <c r="K90" s="14">
        <v>1.2</v>
      </c>
      <c r="L90" s="3">
        <v>348.64</v>
      </c>
      <c r="M90" s="3">
        <v>36934.769999999997</v>
      </c>
      <c r="N90" s="41"/>
    </row>
    <row r="91" spans="2:14" x14ac:dyDescent="0.25">
      <c r="B91" s="2">
        <v>89</v>
      </c>
      <c r="C91" s="4" t="s">
        <v>79</v>
      </c>
      <c r="D91" s="5">
        <v>541</v>
      </c>
      <c r="E91" s="6">
        <v>6.03</v>
      </c>
      <c r="F91" s="3">
        <v>3261.31</v>
      </c>
      <c r="G91" s="13">
        <v>504785.54</v>
      </c>
      <c r="H91" s="3">
        <v>498</v>
      </c>
      <c r="I91" s="3">
        <v>1.4</v>
      </c>
      <c r="J91" s="3">
        <v>574</v>
      </c>
      <c r="K91" s="14">
        <v>1.5</v>
      </c>
      <c r="L91" s="3">
        <v>1520.27</v>
      </c>
      <c r="M91" s="3">
        <v>142594.84</v>
      </c>
      <c r="N91" s="41"/>
    </row>
    <row r="92" spans="2:14" x14ac:dyDescent="0.25">
      <c r="B92" s="2">
        <v>90</v>
      </c>
      <c r="C92" s="4" t="s">
        <v>80</v>
      </c>
      <c r="D92" s="5">
        <v>122</v>
      </c>
      <c r="E92" s="6">
        <v>6.1724590163934421</v>
      </c>
      <c r="F92" s="3">
        <v>753.04</v>
      </c>
      <c r="G92" s="13">
        <v>114261.18</v>
      </c>
      <c r="H92" s="5">
        <v>122</v>
      </c>
      <c r="I92" s="3">
        <v>1.68</v>
      </c>
      <c r="J92" s="5">
        <v>115</v>
      </c>
      <c r="K92" s="14">
        <v>1.9</v>
      </c>
      <c r="L92" s="3">
        <v>422.97</v>
      </c>
      <c r="M92" s="3">
        <v>42132.86</v>
      </c>
      <c r="N92" s="41"/>
    </row>
    <row r="93" spans="2:14" x14ac:dyDescent="0.25">
      <c r="B93" s="2">
        <v>91</v>
      </c>
      <c r="C93" s="4" t="s">
        <v>81</v>
      </c>
      <c r="D93" s="5">
        <v>134</v>
      </c>
      <c r="E93" s="6">
        <v>7.1201492537313431</v>
      </c>
      <c r="F93" s="3">
        <v>954.1</v>
      </c>
      <c r="G93" s="13">
        <v>144028.54</v>
      </c>
      <c r="H93" s="5">
        <v>125</v>
      </c>
      <c r="I93" s="3">
        <v>1.64</v>
      </c>
      <c r="J93" s="5">
        <v>135</v>
      </c>
      <c r="K93" s="14">
        <v>1.3</v>
      </c>
      <c r="L93" s="3">
        <v>379.66</v>
      </c>
      <c r="M93" s="3">
        <v>39576.699999999997</v>
      </c>
      <c r="N93" s="41"/>
    </row>
    <row r="94" spans="2:14" x14ac:dyDescent="0.25">
      <c r="B94" s="2">
        <v>92</v>
      </c>
      <c r="C94" s="4" t="s">
        <v>82</v>
      </c>
      <c r="D94" s="5">
        <v>318</v>
      </c>
      <c r="E94" s="6">
        <v>5.3193396226415093</v>
      </c>
      <c r="F94" s="3">
        <v>1691.55</v>
      </c>
      <c r="G94" s="13">
        <v>257217.18</v>
      </c>
      <c r="H94" s="5">
        <v>318</v>
      </c>
      <c r="I94" s="3">
        <v>1</v>
      </c>
      <c r="J94" s="5">
        <v>318</v>
      </c>
      <c r="K94" s="14">
        <v>1.22</v>
      </c>
      <c r="L94" s="3">
        <v>705.74</v>
      </c>
      <c r="M94" s="3">
        <v>44544.72</v>
      </c>
      <c r="N94" s="41"/>
    </row>
    <row r="95" spans="2:14" x14ac:dyDescent="0.25">
      <c r="B95" s="2">
        <v>93</v>
      </c>
      <c r="C95" s="4" t="s">
        <v>83</v>
      </c>
      <c r="D95" s="5">
        <v>538</v>
      </c>
      <c r="E95" s="6">
        <v>5.4136802973977698</v>
      </c>
      <c r="F95" s="3">
        <v>2912.56</v>
      </c>
      <c r="G95" s="13">
        <v>458059.65</v>
      </c>
      <c r="H95" s="5">
        <v>520</v>
      </c>
      <c r="I95" s="3">
        <v>0.9</v>
      </c>
      <c r="J95" s="5">
        <v>512</v>
      </c>
      <c r="K95" s="14">
        <v>1</v>
      </c>
      <c r="L95" s="3">
        <v>977.65</v>
      </c>
      <c r="M95" s="3">
        <v>120177.98</v>
      </c>
      <c r="N95" s="41"/>
    </row>
    <row r="96" spans="2:14" ht="30" x14ac:dyDescent="0.25">
      <c r="B96" s="2">
        <v>94</v>
      </c>
      <c r="C96" s="4" t="s">
        <v>113</v>
      </c>
      <c r="D96" s="3">
        <v>340</v>
      </c>
      <c r="E96" s="3" t="s">
        <v>114</v>
      </c>
      <c r="F96" s="3">
        <f>735.74+2106</f>
        <v>2841.74</v>
      </c>
      <c r="G96" s="13">
        <f>164847.44+398310.93</f>
        <v>563158.37</v>
      </c>
      <c r="H96" s="3">
        <v>340</v>
      </c>
      <c r="I96" s="3">
        <v>1.2</v>
      </c>
      <c r="J96" s="3">
        <v>340</v>
      </c>
      <c r="K96" s="14">
        <v>4.6900000000000004</v>
      </c>
      <c r="L96" s="3">
        <v>2002.14</v>
      </c>
      <c r="M96" s="3">
        <f>139509.06</f>
        <v>139509.06</v>
      </c>
      <c r="N96" s="41"/>
    </row>
    <row r="97" spans="2:14" ht="30" x14ac:dyDescent="0.25">
      <c r="B97" s="2">
        <v>95</v>
      </c>
      <c r="C97" s="4" t="s">
        <v>112</v>
      </c>
      <c r="D97" s="3">
        <v>604</v>
      </c>
      <c r="E97" s="3" t="s">
        <v>111</v>
      </c>
      <c r="F97" s="3">
        <v>4079.01</v>
      </c>
      <c r="G97" s="13">
        <v>748079.28</v>
      </c>
      <c r="H97" s="3">
        <v>431</v>
      </c>
      <c r="I97" s="3">
        <v>0.85</v>
      </c>
      <c r="J97" s="3">
        <v>431</v>
      </c>
      <c r="K97" s="14">
        <v>0.82</v>
      </c>
      <c r="L97" s="3">
        <v>718.49</v>
      </c>
      <c r="M97" s="3">
        <v>66179.8</v>
      </c>
      <c r="N97" s="41"/>
    </row>
    <row r="98" spans="2:14" ht="30.75" customHeight="1" x14ac:dyDescent="0.25">
      <c r="B98" s="2">
        <v>96</v>
      </c>
      <c r="C98" s="4" t="s">
        <v>110</v>
      </c>
      <c r="D98" s="3">
        <v>2336</v>
      </c>
      <c r="E98" s="3" t="s">
        <v>109</v>
      </c>
      <c r="F98" s="3">
        <f>5130+398.19+15729.31</f>
        <v>21257.5</v>
      </c>
      <c r="G98" s="13">
        <f>922228.94+65526.17+2744795.94</f>
        <v>3732551.05</v>
      </c>
      <c r="H98" s="3">
        <v>2336</v>
      </c>
      <c r="I98" s="3">
        <v>1.1000000000000001</v>
      </c>
      <c r="J98" s="3">
        <v>2440</v>
      </c>
      <c r="K98" s="14">
        <v>1.04</v>
      </c>
      <c r="L98" s="3">
        <f>1743.06+3358.21</f>
        <v>5101.2700000000004</v>
      </c>
      <c r="M98" s="3">
        <f>185129.29+293980.75</f>
        <v>479110.04000000004</v>
      </c>
      <c r="N98" s="41"/>
    </row>
    <row r="99" spans="2:14" x14ac:dyDescent="0.25">
      <c r="B99" s="2">
        <v>97</v>
      </c>
      <c r="C99" s="4" t="s">
        <v>84</v>
      </c>
      <c r="D99" s="3"/>
      <c r="E99" s="3"/>
      <c r="F99" s="3"/>
      <c r="G99" s="13"/>
      <c r="H99" s="5">
        <v>674</v>
      </c>
      <c r="I99" s="3">
        <v>1.6</v>
      </c>
      <c r="J99" s="5">
        <v>662</v>
      </c>
      <c r="K99" s="14">
        <v>1.41</v>
      </c>
      <c r="L99" s="3">
        <v>2008.02</v>
      </c>
      <c r="M99" s="3">
        <v>210325.02</v>
      </c>
      <c r="N99" s="41"/>
    </row>
    <row r="100" spans="2:14" x14ac:dyDescent="0.25">
      <c r="B100" s="2">
        <v>98</v>
      </c>
      <c r="C100" s="4" t="s">
        <v>85</v>
      </c>
      <c r="D100" s="5">
        <v>466</v>
      </c>
      <c r="E100" s="6">
        <v>7.0957296137339059</v>
      </c>
      <c r="F100" s="3">
        <v>3306.61</v>
      </c>
      <c r="G100" s="13">
        <v>456200.99</v>
      </c>
      <c r="H100" s="5">
        <v>429</v>
      </c>
      <c r="I100" s="3">
        <v>1.5</v>
      </c>
      <c r="J100" s="5">
        <v>429</v>
      </c>
      <c r="K100" s="14">
        <v>1.25</v>
      </c>
      <c r="L100" s="3">
        <v>1179.6600000000001</v>
      </c>
      <c r="M100" s="3">
        <v>119386.43</v>
      </c>
      <c r="N100" s="41"/>
    </row>
  </sheetData>
  <mergeCells count="6">
    <mergeCell ref="B1:B2"/>
    <mergeCell ref="N3:N37"/>
    <mergeCell ref="N38:N100"/>
    <mergeCell ref="D1:G1"/>
    <mergeCell ref="C1:C2"/>
    <mergeCell ref="H1:M1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topLeftCell="A107" zoomScale="85" zoomScaleNormal="85" workbookViewId="0">
      <selection activeCell="I116" sqref="I116"/>
    </sheetView>
  </sheetViews>
  <sheetFormatPr defaultRowHeight="15" x14ac:dyDescent="0.25"/>
  <cols>
    <col min="1" max="1" width="5.7109375" customWidth="1"/>
    <col min="2" max="2" width="16.7109375" style="1" customWidth="1"/>
    <col min="3" max="3" width="10.5703125" style="1" customWidth="1"/>
    <col min="4" max="5" width="12.42578125" style="1" customWidth="1"/>
    <col min="6" max="6" width="11.7109375" style="1" customWidth="1"/>
    <col min="7" max="7" width="11.85546875" style="17" customWidth="1"/>
    <col min="8" max="8" width="13.7109375" style="17" customWidth="1"/>
    <col min="9" max="9" width="12" customWidth="1"/>
    <col min="10" max="10" width="11.85546875" customWidth="1"/>
    <col min="11" max="11" width="11.7109375" customWidth="1"/>
    <col min="12" max="12" width="13.5703125" customWidth="1"/>
    <col min="13" max="13" width="11.7109375" bestFit="1" customWidth="1"/>
    <col min="14" max="14" width="15.140625" customWidth="1"/>
    <col min="15" max="15" width="13.5703125" customWidth="1"/>
    <col min="16" max="16" width="12.7109375" bestFit="1" customWidth="1"/>
  </cols>
  <sheetData>
    <row r="1" spans="1:11" x14ac:dyDescent="0.25">
      <c r="F1" s="49"/>
      <c r="G1" s="49"/>
    </row>
    <row r="2" spans="1:11" ht="42.75" customHeight="1" x14ac:dyDescent="0.25">
      <c r="B2" s="51" t="s">
        <v>129</v>
      </c>
      <c r="C2" s="51"/>
      <c r="D2" s="51"/>
      <c r="E2" s="51"/>
      <c r="F2" s="51"/>
      <c r="G2" s="51"/>
      <c r="H2" s="51"/>
      <c r="I2" s="51"/>
      <c r="J2" s="51"/>
      <c r="K2" s="51"/>
    </row>
    <row r="3" spans="1:11" ht="1.5" customHeight="1" x14ac:dyDescent="0.25">
      <c r="B3" s="52"/>
      <c r="C3" s="52"/>
      <c r="D3" s="52"/>
      <c r="E3" s="52"/>
      <c r="F3" s="52"/>
      <c r="G3" s="52"/>
    </row>
    <row r="4" spans="1:11" ht="30" customHeight="1" x14ac:dyDescent="0.25">
      <c r="B4" s="18"/>
      <c r="C4" s="18"/>
      <c r="D4" s="18"/>
      <c r="E4" s="18"/>
      <c r="F4" s="56" t="s">
        <v>164</v>
      </c>
      <c r="G4" s="51"/>
      <c r="H4" s="51"/>
      <c r="I4" s="51"/>
      <c r="J4" s="51"/>
      <c r="K4" s="51"/>
    </row>
    <row r="5" spans="1:11" ht="15" customHeight="1" x14ac:dyDescent="0.25">
      <c r="J5" s="1" t="s">
        <v>161</v>
      </c>
    </row>
    <row r="6" spans="1:11" ht="15" customHeight="1" x14ac:dyDescent="0.25">
      <c r="A6" s="50" t="s">
        <v>99</v>
      </c>
      <c r="B6" s="50" t="s">
        <v>100</v>
      </c>
      <c r="C6" s="21" t="s">
        <v>123</v>
      </c>
      <c r="D6" s="21" t="s">
        <v>90</v>
      </c>
      <c r="E6" s="21" t="s">
        <v>90</v>
      </c>
      <c r="F6" s="21" t="s">
        <v>91</v>
      </c>
      <c r="G6" s="21" t="s">
        <v>91</v>
      </c>
      <c r="H6" s="47" t="s">
        <v>127</v>
      </c>
      <c r="I6" s="47" t="s">
        <v>128</v>
      </c>
    </row>
    <row r="7" spans="1:11" ht="38.25" x14ac:dyDescent="0.25">
      <c r="A7" s="50"/>
      <c r="B7" s="50"/>
      <c r="C7" s="21" t="s">
        <v>122</v>
      </c>
      <c r="D7" s="20" t="s">
        <v>125</v>
      </c>
      <c r="E7" s="20" t="s">
        <v>126</v>
      </c>
      <c r="F7" s="20" t="s">
        <v>125</v>
      </c>
      <c r="G7" s="20" t="s">
        <v>126</v>
      </c>
      <c r="H7" s="48"/>
      <c r="I7" s="48"/>
    </row>
    <row r="8" spans="1:11" x14ac:dyDescent="0.25">
      <c r="A8" s="21">
        <v>1</v>
      </c>
      <c r="B8" s="37" t="s">
        <v>2</v>
      </c>
      <c r="C8" s="23">
        <v>12001453</v>
      </c>
      <c r="D8" s="24">
        <f>90670.74+8327.8</f>
        <v>98998.540000000008</v>
      </c>
      <c r="E8" s="24">
        <f t="shared" ref="E8:E71" si="0">D8*1.19</f>
        <v>117808.2626</v>
      </c>
      <c r="F8" s="24">
        <v>18667.099999999999</v>
      </c>
      <c r="G8" s="24">
        <f t="shared" ref="G8:G68" si="1">F8*1.19</f>
        <v>22213.848999999998</v>
      </c>
      <c r="H8" s="24">
        <f>D8+F8</f>
        <v>117665.64000000001</v>
      </c>
      <c r="I8" s="24">
        <f>ROUND(H8*1.19,2)</f>
        <v>140022.10999999999</v>
      </c>
    </row>
    <row r="9" spans="1:11" x14ac:dyDescent="0.25">
      <c r="A9" s="21">
        <v>2</v>
      </c>
      <c r="B9" s="37" t="s">
        <v>3</v>
      </c>
      <c r="C9" s="23">
        <v>12002245</v>
      </c>
      <c r="D9" s="24">
        <f>60811.37+8327.8</f>
        <v>69139.17</v>
      </c>
      <c r="E9" s="24">
        <f t="shared" si="0"/>
        <v>82275.612299999993</v>
      </c>
      <c r="F9" s="24">
        <v>12212.65</v>
      </c>
      <c r="G9" s="24">
        <f t="shared" si="1"/>
        <v>14533.053499999998</v>
      </c>
      <c r="H9" s="24">
        <f t="shared" ref="H9:H72" si="2">D9+F9</f>
        <v>81351.819999999992</v>
      </c>
      <c r="I9" s="24">
        <f t="shared" ref="I9:I72" si="3">ROUND(H9*1.19,2)</f>
        <v>96808.67</v>
      </c>
    </row>
    <row r="10" spans="1:11" x14ac:dyDescent="0.25">
      <c r="A10" s="21">
        <v>3</v>
      </c>
      <c r="B10" s="37" t="s">
        <v>6</v>
      </c>
      <c r="C10" s="23">
        <v>12001516</v>
      </c>
      <c r="D10" s="24">
        <v>353233.87</v>
      </c>
      <c r="E10" s="24">
        <f t="shared" si="0"/>
        <v>420348.30529999995</v>
      </c>
      <c r="F10" s="24">
        <f>32252.06+26551.92</f>
        <v>58803.979999999996</v>
      </c>
      <c r="G10" s="24">
        <f t="shared" si="1"/>
        <v>69976.736199999985</v>
      </c>
      <c r="H10" s="24">
        <f t="shared" si="2"/>
        <v>412037.85</v>
      </c>
      <c r="I10" s="24">
        <f t="shared" si="3"/>
        <v>490325.04</v>
      </c>
    </row>
    <row r="11" spans="1:11" x14ac:dyDescent="0.25">
      <c r="A11" s="21">
        <v>4</v>
      </c>
      <c r="B11" s="37" t="s">
        <v>7</v>
      </c>
      <c r="C11" s="23">
        <v>12002292</v>
      </c>
      <c r="D11" s="24">
        <f>251404.97+29307.67</f>
        <v>280712.64</v>
      </c>
      <c r="E11" s="24">
        <f t="shared" si="0"/>
        <v>334048.0416</v>
      </c>
      <c r="F11" s="24">
        <f>16840.4+6119.77</f>
        <v>22960.170000000002</v>
      </c>
      <c r="G11" s="24">
        <f t="shared" si="1"/>
        <v>27322.602300000002</v>
      </c>
      <c r="H11" s="24">
        <f t="shared" si="2"/>
        <v>303672.81</v>
      </c>
      <c r="I11" s="24">
        <f t="shared" si="3"/>
        <v>361370.64</v>
      </c>
    </row>
    <row r="12" spans="1:11" x14ac:dyDescent="0.25">
      <c r="A12" s="21">
        <v>5</v>
      </c>
      <c r="B12" s="37" t="s">
        <v>9</v>
      </c>
      <c r="C12" s="23">
        <v>12001652</v>
      </c>
      <c r="D12" s="24">
        <f>240611.65+28155.6</f>
        <v>268767.25</v>
      </c>
      <c r="E12" s="24">
        <f t="shared" si="0"/>
        <v>319833.02749999997</v>
      </c>
      <c r="F12" s="24">
        <f>16175.56</f>
        <v>16175.56</v>
      </c>
      <c r="G12" s="24">
        <f t="shared" si="1"/>
        <v>19248.916399999998</v>
      </c>
      <c r="H12" s="24">
        <f t="shared" si="2"/>
        <v>284942.81</v>
      </c>
      <c r="I12" s="24">
        <f t="shared" si="3"/>
        <v>339081.94</v>
      </c>
    </row>
    <row r="13" spans="1:11" x14ac:dyDescent="0.25">
      <c r="A13" s="21">
        <v>6</v>
      </c>
      <c r="B13" s="37" t="s">
        <v>10</v>
      </c>
      <c r="C13" s="23">
        <v>12001848</v>
      </c>
      <c r="D13" s="24">
        <f>247114.58</f>
        <v>247114.58</v>
      </c>
      <c r="E13" s="24">
        <f t="shared" si="0"/>
        <v>294066.35019999999</v>
      </c>
      <c r="F13" s="24">
        <f>25301.56</f>
        <v>25301.56</v>
      </c>
      <c r="G13" s="24">
        <f t="shared" si="1"/>
        <v>30108.856400000001</v>
      </c>
      <c r="H13" s="24">
        <f t="shared" si="2"/>
        <v>272416.14</v>
      </c>
      <c r="I13" s="24">
        <f t="shared" si="3"/>
        <v>324175.21000000002</v>
      </c>
    </row>
    <row r="14" spans="1:11" x14ac:dyDescent="0.25">
      <c r="A14" s="21">
        <v>7</v>
      </c>
      <c r="B14" s="37" t="s">
        <v>11</v>
      </c>
      <c r="C14" s="23">
        <v>12001827</v>
      </c>
      <c r="D14" s="24">
        <v>260210.63</v>
      </c>
      <c r="E14" s="24">
        <f t="shared" si="0"/>
        <v>309650.64970000001</v>
      </c>
      <c r="F14" s="24">
        <v>21200.240000000002</v>
      </c>
      <c r="G14" s="24">
        <f t="shared" si="1"/>
        <v>25228.285599999999</v>
      </c>
      <c r="H14" s="24">
        <f t="shared" si="2"/>
        <v>281410.87</v>
      </c>
      <c r="I14" s="24">
        <f t="shared" si="3"/>
        <v>334878.94</v>
      </c>
    </row>
    <row r="15" spans="1:11" x14ac:dyDescent="0.25">
      <c r="A15" s="21">
        <v>8</v>
      </c>
      <c r="B15" s="37" t="s">
        <v>12</v>
      </c>
      <c r="C15" s="23">
        <v>12001651</v>
      </c>
      <c r="D15" s="24">
        <v>111634.01</v>
      </c>
      <c r="E15" s="24">
        <f t="shared" si="0"/>
        <v>132844.47189999997</v>
      </c>
      <c r="F15" s="24">
        <v>10733.52</v>
      </c>
      <c r="G15" s="24">
        <f t="shared" si="1"/>
        <v>12772.888800000001</v>
      </c>
      <c r="H15" s="24">
        <f t="shared" si="2"/>
        <v>122367.53</v>
      </c>
      <c r="I15" s="24">
        <f t="shared" si="3"/>
        <v>145617.35999999999</v>
      </c>
    </row>
    <row r="16" spans="1:11" x14ac:dyDescent="0.25">
      <c r="A16" s="21">
        <v>9</v>
      </c>
      <c r="B16" s="37" t="s">
        <v>13</v>
      </c>
      <c r="C16" s="23">
        <v>12001865</v>
      </c>
      <c r="D16" s="24">
        <v>122074.77</v>
      </c>
      <c r="E16" s="24">
        <f t="shared" si="0"/>
        <v>145268.97630000001</v>
      </c>
      <c r="F16" s="24">
        <v>8050.14</v>
      </c>
      <c r="G16" s="24">
        <f t="shared" si="1"/>
        <v>9579.6666000000005</v>
      </c>
      <c r="H16" s="24">
        <f t="shared" si="2"/>
        <v>130124.91</v>
      </c>
      <c r="I16" s="24">
        <f t="shared" si="3"/>
        <v>154848.64000000001</v>
      </c>
    </row>
    <row r="17" spans="1:9" x14ac:dyDescent="0.25">
      <c r="A17" s="21">
        <v>10</v>
      </c>
      <c r="B17" s="37" t="s">
        <v>15</v>
      </c>
      <c r="C17" s="23">
        <v>12001850</v>
      </c>
      <c r="D17" s="24">
        <v>219127.42</v>
      </c>
      <c r="E17" s="24">
        <f t="shared" si="0"/>
        <v>260761.6298</v>
      </c>
      <c r="F17" s="24">
        <v>9123.48</v>
      </c>
      <c r="G17" s="24">
        <f t="shared" si="1"/>
        <v>10856.941199999999</v>
      </c>
      <c r="H17" s="24">
        <f t="shared" si="2"/>
        <v>228250.90000000002</v>
      </c>
      <c r="I17" s="24">
        <f t="shared" si="3"/>
        <v>271618.57</v>
      </c>
    </row>
    <row r="18" spans="1:9" x14ac:dyDescent="0.25">
      <c r="A18" s="21">
        <v>11</v>
      </c>
      <c r="B18" s="37" t="s">
        <v>16</v>
      </c>
      <c r="C18" s="23">
        <v>12002223</v>
      </c>
      <c r="D18" s="24">
        <v>390453.95</v>
      </c>
      <c r="E18" s="24">
        <f t="shared" si="0"/>
        <v>464640.20049999998</v>
      </c>
      <c r="F18" s="24">
        <v>58548.43</v>
      </c>
      <c r="G18" s="24">
        <f t="shared" si="1"/>
        <v>69672.631699999998</v>
      </c>
      <c r="H18" s="24">
        <f t="shared" si="2"/>
        <v>449002.38</v>
      </c>
      <c r="I18" s="24">
        <f t="shared" si="3"/>
        <v>534312.82999999996</v>
      </c>
    </row>
    <row r="19" spans="1:9" x14ac:dyDescent="0.25">
      <c r="A19" s="21">
        <v>12</v>
      </c>
      <c r="B19" s="37" t="s">
        <v>20</v>
      </c>
      <c r="C19" s="23">
        <v>12002345</v>
      </c>
      <c r="D19" s="24">
        <f>14650.78+114195.35+773.05</f>
        <v>129619.18000000001</v>
      </c>
      <c r="E19" s="24">
        <f t="shared" si="0"/>
        <v>154246.8242</v>
      </c>
      <c r="F19" s="24">
        <f>11539.01+25073.31</f>
        <v>36612.32</v>
      </c>
      <c r="G19" s="24">
        <f t="shared" si="1"/>
        <v>43568.660799999998</v>
      </c>
      <c r="H19" s="24">
        <f t="shared" si="2"/>
        <v>166231.5</v>
      </c>
      <c r="I19" s="24">
        <f t="shared" si="3"/>
        <v>197815.49</v>
      </c>
    </row>
    <row r="20" spans="1:9" x14ac:dyDescent="0.25">
      <c r="A20" s="21">
        <v>13</v>
      </c>
      <c r="B20" s="37" t="s">
        <v>21</v>
      </c>
      <c r="C20" s="23">
        <v>12001502</v>
      </c>
      <c r="D20" s="24">
        <f>31654.24+260187.84+3186.63</f>
        <v>295028.71000000002</v>
      </c>
      <c r="E20" s="24">
        <f t="shared" si="0"/>
        <v>351084.16490000003</v>
      </c>
      <c r="F20" s="24">
        <f>28167.52+90659.72</f>
        <v>118827.24</v>
      </c>
      <c r="G20" s="24">
        <f t="shared" si="1"/>
        <v>141404.41560000001</v>
      </c>
      <c r="H20" s="24">
        <f t="shared" si="2"/>
        <v>413855.95</v>
      </c>
      <c r="I20" s="24">
        <f t="shared" si="3"/>
        <v>492488.58</v>
      </c>
    </row>
    <row r="21" spans="1:9" x14ac:dyDescent="0.25">
      <c r="A21" s="21">
        <v>14</v>
      </c>
      <c r="B21" s="37" t="s">
        <v>22</v>
      </c>
      <c r="C21" s="23">
        <v>12001391</v>
      </c>
      <c r="D21" s="24">
        <f>26307.24+215959.55</f>
        <v>242266.78999999998</v>
      </c>
      <c r="E21" s="24">
        <f t="shared" si="0"/>
        <v>288297.48009999999</v>
      </c>
      <c r="F21" s="24">
        <f>20430.51+64182.49</f>
        <v>84613</v>
      </c>
      <c r="G21" s="24">
        <f t="shared" si="1"/>
        <v>100689.47</v>
      </c>
      <c r="H21" s="24">
        <f t="shared" si="2"/>
        <v>326879.78999999998</v>
      </c>
      <c r="I21" s="24">
        <f t="shared" si="3"/>
        <v>388986.95</v>
      </c>
    </row>
    <row r="22" spans="1:9" ht="26.25" x14ac:dyDescent="0.25">
      <c r="A22" s="21">
        <v>15</v>
      </c>
      <c r="B22" s="37" t="s">
        <v>23</v>
      </c>
      <c r="C22" s="23">
        <v>12001376</v>
      </c>
      <c r="D22" s="24">
        <f>27376.64+212908.07</f>
        <v>240284.71000000002</v>
      </c>
      <c r="E22" s="24">
        <f t="shared" si="0"/>
        <v>285938.80489999999</v>
      </c>
      <c r="F22" s="24">
        <f>22558.57+77715.64</f>
        <v>100274.20999999999</v>
      </c>
      <c r="G22" s="24">
        <f t="shared" si="1"/>
        <v>119326.30989999998</v>
      </c>
      <c r="H22" s="24">
        <f t="shared" si="2"/>
        <v>340558.92000000004</v>
      </c>
      <c r="I22" s="24">
        <f t="shared" si="3"/>
        <v>405265.11</v>
      </c>
    </row>
    <row r="23" spans="1:9" ht="28.5" customHeight="1" x14ac:dyDescent="0.25">
      <c r="A23" s="21">
        <v>16</v>
      </c>
      <c r="B23" s="37" t="s">
        <v>94</v>
      </c>
      <c r="C23" s="23">
        <v>12001586</v>
      </c>
      <c r="D23" s="24">
        <f>608599.65+2319.15+773.05</f>
        <v>611691.85000000009</v>
      </c>
      <c r="E23" s="24">
        <f t="shared" si="0"/>
        <v>727913.30150000006</v>
      </c>
      <c r="F23" s="24">
        <v>138595.24</v>
      </c>
      <c r="G23" s="24">
        <f t="shared" si="1"/>
        <v>164928.33559999999</v>
      </c>
      <c r="H23" s="24">
        <f t="shared" si="2"/>
        <v>750287.09000000008</v>
      </c>
      <c r="I23" s="24">
        <f t="shared" si="3"/>
        <v>892841.64</v>
      </c>
    </row>
    <row r="24" spans="1:9" x14ac:dyDescent="0.25">
      <c r="A24" s="21">
        <v>17</v>
      </c>
      <c r="B24" s="37" t="s">
        <v>24</v>
      </c>
      <c r="C24" s="23">
        <v>12001559</v>
      </c>
      <c r="D24" s="24">
        <f>515543.87+1546.1</f>
        <v>517089.97</v>
      </c>
      <c r="E24" s="24">
        <f t="shared" si="0"/>
        <v>615337.06429999997</v>
      </c>
      <c r="F24" s="24">
        <f>135993.55</f>
        <v>135993.54999999999</v>
      </c>
      <c r="G24" s="24">
        <f t="shared" si="1"/>
        <v>161832.32449999999</v>
      </c>
      <c r="H24" s="24">
        <f t="shared" si="2"/>
        <v>653083.52</v>
      </c>
      <c r="I24" s="24">
        <f t="shared" si="3"/>
        <v>777169.39</v>
      </c>
    </row>
    <row r="25" spans="1:9" x14ac:dyDescent="0.25">
      <c r="A25" s="21">
        <v>18</v>
      </c>
      <c r="B25" s="37" t="s">
        <v>26</v>
      </c>
      <c r="C25" s="23">
        <v>12002224</v>
      </c>
      <c r="D25" s="24">
        <f>296588.45+773.05</f>
        <v>297361.5</v>
      </c>
      <c r="E25" s="24">
        <f t="shared" si="0"/>
        <v>353860.185</v>
      </c>
      <c r="F25" s="24">
        <f>93618.65</f>
        <v>93618.65</v>
      </c>
      <c r="G25" s="24">
        <f t="shared" si="1"/>
        <v>111406.19349999999</v>
      </c>
      <c r="H25" s="24">
        <f t="shared" si="2"/>
        <v>390980.15</v>
      </c>
      <c r="I25" s="24">
        <f t="shared" si="3"/>
        <v>465266.38</v>
      </c>
    </row>
    <row r="26" spans="1:9" x14ac:dyDescent="0.25">
      <c r="A26" s="21">
        <v>19</v>
      </c>
      <c r="B26" s="37" t="s">
        <v>27</v>
      </c>
      <c r="C26" s="23">
        <v>12001306</v>
      </c>
      <c r="D26" s="24">
        <f>138821.77+119310.45</f>
        <v>258132.21999999997</v>
      </c>
      <c r="E26" s="24">
        <f t="shared" si="0"/>
        <v>307177.34179999994</v>
      </c>
      <c r="F26" s="24">
        <f>45276.44+57012.1</f>
        <v>102288.54000000001</v>
      </c>
      <c r="G26" s="24">
        <f t="shared" si="1"/>
        <v>121723.36260000001</v>
      </c>
      <c r="H26" s="24">
        <f t="shared" si="2"/>
        <v>360420.76</v>
      </c>
      <c r="I26" s="24">
        <f t="shared" si="3"/>
        <v>428900.7</v>
      </c>
    </row>
    <row r="27" spans="1:9" ht="26.25" x14ac:dyDescent="0.25">
      <c r="A27" s="21">
        <v>20</v>
      </c>
      <c r="B27" s="37" t="s">
        <v>96</v>
      </c>
      <c r="C27" s="23">
        <v>12002368</v>
      </c>
      <c r="D27" s="24">
        <f>169598.04+142364.6+199132.65+6656.55</f>
        <v>517751.84</v>
      </c>
      <c r="E27" s="24">
        <f t="shared" si="0"/>
        <v>616124.68960000004</v>
      </c>
      <c r="F27" s="24">
        <f>31122.63+38789.71+61540.22</f>
        <v>131452.56</v>
      </c>
      <c r="G27" s="24">
        <f t="shared" si="1"/>
        <v>156428.54639999999</v>
      </c>
      <c r="H27" s="24">
        <f t="shared" si="2"/>
        <v>649204.4</v>
      </c>
      <c r="I27" s="24">
        <f t="shared" si="3"/>
        <v>772553.24</v>
      </c>
    </row>
    <row r="28" spans="1:9" x14ac:dyDescent="0.25">
      <c r="A28" s="21">
        <v>21</v>
      </c>
      <c r="B28" s="37" t="s">
        <v>95</v>
      </c>
      <c r="C28" s="23">
        <v>12001385</v>
      </c>
      <c r="D28" s="24">
        <f>235159.11+258947.68+241386.33+773.05</f>
        <v>736266.17</v>
      </c>
      <c r="E28" s="24">
        <f t="shared" si="0"/>
        <v>876156.74230000004</v>
      </c>
      <c r="F28" s="24">
        <f>44815.27+47632.45+39768.5</f>
        <v>132216.22</v>
      </c>
      <c r="G28" s="24">
        <f t="shared" si="1"/>
        <v>157337.30179999999</v>
      </c>
      <c r="H28" s="24">
        <f t="shared" si="2"/>
        <v>868482.39</v>
      </c>
      <c r="I28" s="24">
        <f t="shared" si="3"/>
        <v>1033494.04</v>
      </c>
    </row>
    <row r="29" spans="1:9" x14ac:dyDescent="0.25">
      <c r="A29" s="21">
        <v>22</v>
      </c>
      <c r="B29" s="37" t="s">
        <v>97</v>
      </c>
      <c r="C29" s="23">
        <v>12001372</v>
      </c>
      <c r="D29" s="24">
        <f>294103.84+2538.12</f>
        <v>296641.96000000002</v>
      </c>
      <c r="E29" s="24">
        <f t="shared" si="0"/>
        <v>353003.93239999999</v>
      </c>
      <c r="F29" s="24">
        <v>64951.51</v>
      </c>
      <c r="G29" s="24">
        <f t="shared" si="1"/>
        <v>77292.296900000001</v>
      </c>
      <c r="H29" s="24">
        <f t="shared" si="2"/>
        <v>361593.47000000003</v>
      </c>
      <c r="I29" s="24">
        <f t="shared" si="3"/>
        <v>430296.23</v>
      </c>
    </row>
    <row r="30" spans="1:9" ht="26.25" x14ac:dyDescent="0.25">
      <c r="A30" s="21">
        <v>23</v>
      </c>
      <c r="B30" s="37" t="s">
        <v>98</v>
      </c>
      <c r="C30" s="23">
        <v>12001580</v>
      </c>
      <c r="D30" s="24">
        <v>309104.51</v>
      </c>
      <c r="E30" s="24">
        <f t="shared" si="0"/>
        <v>367834.36690000002</v>
      </c>
      <c r="F30" s="24">
        <v>87718.2</v>
      </c>
      <c r="G30" s="24">
        <f t="shared" si="1"/>
        <v>104384.658</v>
      </c>
      <c r="H30" s="24">
        <f t="shared" si="2"/>
        <v>396822.71</v>
      </c>
      <c r="I30" s="24">
        <f t="shared" si="3"/>
        <v>472219.02</v>
      </c>
    </row>
    <row r="31" spans="1:9" ht="68.25" customHeight="1" x14ac:dyDescent="0.25">
      <c r="A31" s="21">
        <v>24</v>
      </c>
      <c r="B31" s="37" t="s">
        <v>28</v>
      </c>
      <c r="C31" s="23">
        <v>12001847</v>
      </c>
      <c r="D31" s="24">
        <f>723633.75+27046.26+1196617.85+260659.29</f>
        <v>2207957.15</v>
      </c>
      <c r="E31" s="24">
        <f t="shared" si="0"/>
        <v>2627469.0085</v>
      </c>
      <c r="F31" s="24">
        <f>695076.15+89161.42</f>
        <v>784237.57000000007</v>
      </c>
      <c r="G31" s="24">
        <f t="shared" si="1"/>
        <v>933242.70830000006</v>
      </c>
      <c r="H31" s="24">
        <f t="shared" si="2"/>
        <v>2992194.7199999997</v>
      </c>
      <c r="I31" s="24">
        <f t="shared" si="3"/>
        <v>3560711.72</v>
      </c>
    </row>
    <row r="32" spans="1:9" x14ac:dyDescent="0.25">
      <c r="A32" s="21">
        <v>25</v>
      </c>
      <c r="B32" s="37" t="s">
        <v>30</v>
      </c>
      <c r="C32" s="23">
        <v>12001607</v>
      </c>
      <c r="D32" s="24">
        <v>417135.09</v>
      </c>
      <c r="E32" s="24">
        <f t="shared" si="0"/>
        <v>496390.75709999999</v>
      </c>
      <c r="F32" s="24">
        <v>104913.21</v>
      </c>
      <c r="G32" s="24">
        <f t="shared" si="1"/>
        <v>124846.7199</v>
      </c>
      <c r="H32" s="24">
        <f t="shared" si="2"/>
        <v>522048.30000000005</v>
      </c>
      <c r="I32" s="24">
        <f t="shared" si="3"/>
        <v>621237.48</v>
      </c>
    </row>
    <row r="33" spans="1:9" x14ac:dyDescent="0.25">
      <c r="A33" s="21">
        <v>26</v>
      </c>
      <c r="B33" s="37" t="s">
        <v>31</v>
      </c>
      <c r="C33" s="23">
        <v>12002257</v>
      </c>
      <c r="D33" s="24">
        <f>388660.5</f>
        <v>388660.5</v>
      </c>
      <c r="E33" s="24">
        <f t="shared" si="0"/>
        <v>462505.995</v>
      </c>
      <c r="F33" s="24"/>
      <c r="G33" s="24">
        <f t="shared" si="1"/>
        <v>0</v>
      </c>
      <c r="H33" s="24">
        <f t="shared" si="2"/>
        <v>388660.5</v>
      </c>
      <c r="I33" s="24">
        <f t="shared" si="3"/>
        <v>462506</v>
      </c>
    </row>
    <row r="34" spans="1:9" x14ac:dyDescent="0.25">
      <c r="A34" s="21">
        <v>27</v>
      </c>
      <c r="B34" s="37" t="s">
        <v>32</v>
      </c>
      <c r="C34" s="23">
        <v>12001737</v>
      </c>
      <c r="D34" s="24">
        <f>86515.19</f>
        <v>86515.19</v>
      </c>
      <c r="E34" s="24">
        <f t="shared" si="0"/>
        <v>102953.07609999999</v>
      </c>
      <c r="F34" s="24">
        <f>24176.55</f>
        <v>24176.55</v>
      </c>
      <c r="G34" s="24">
        <f t="shared" si="1"/>
        <v>28770.094499999999</v>
      </c>
      <c r="H34" s="24">
        <f t="shared" si="2"/>
        <v>110691.74</v>
      </c>
      <c r="I34" s="24">
        <f t="shared" si="3"/>
        <v>131723.17000000001</v>
      </c>
    </row>
    <row r="35" spans="1:9" x14ac:dyDescent="0.25">
      <c r="A35" s="21">
        <v>28</v>
      </c>
      <c r="B35" s="37" t="s">
        <v>33</v>
      </c>
      <c r="C35" s="23">
        <v>12002486</v>
      </c>
      <c r="D35" s="24">
        <v>242260.98</v>
      </c>
      <c r="E35" s="24">
        <f t="shared" si="0"/>
        <v>288290.5662</v>
      </c>
      <c r="F35" s="24">
        <v>34869.1</v>
      </c>
      <c r="G35" s="24">
        <f t="shared" si="1"/>
        <v>41494.228999999999</v>
      </c>
      <c r="H35" s="24">
        <f t="shared" si="2"/>
        <v>277130.08</v>
      </c>
      <c r="I35" s="24">
        <f t="shared" si="3"/>
        <v>329784.8</v>
      </c>
    </row>
    <row r="36" spans="1:9" x14ac:dyDescent="0.25">
      <c r="A36" s="21">
        <v>29</v>
      </c>
      <c r="B36" s="37" t="s">
        <v>115</v>
      </c>
      <c r="C36" s="23">
        <v>12001394</v>
      </c>
      <c r="D36" s="24">
        <v>91760.36</v>
      </c>
      <c r="E36" s="24">
        <f t="shared" si="0"/>
        <v>109194.8284</v>
      </c>
      <c r="F36" s="24">
        <v>17774.560000000001</v>
      </c>
      <c r="G36" s="24">
        <f t="shared" si="1"/>
        <v>21151.7264</v>
      </c>
      <c r="H36" s="24">
        <f t="shared" si="2"/>
        <v>109534.92</v>
      </c>
      <c r="I36" s="24">
        <f t="shared" si="3"/>
        <v>130346.55</v>
      </c>
    </row>
    <row r="37" spans="1:9" x14ac:dyDescent="0.25">
      <c r="A37" s="21">
        <v>30</v>
      </c>
      <c r="B37" s="37" t="s">
        <v>35</v>
      </c>
      <c r="C37" s="23">
        <v>12002305</v>
      </c>
      <c r="D37" s="24">
        <f>181182.36</f>
        <v>181182.36</v>
      </c>
      <c r="E37" s="24">
        <f t="shared" si="0"/>
        <v>215607.00839999996</v>
      </c>
      <c r="F37" s="24">
        <f>31895.38</f>
        <v>31895.38</v>
      </c>
      <c r="G37" s="24">
        <f t="shared" si="1"/>
        <v>37955.502200000003</v>
      </c>
      <c r="H37" s="24">
        <f t="shared" si="2"/>
        <v>213077.74</v>
      </c>
      <c r="I37" s="24">
        <f t="shared" si="3"/>
        <v>253562.51</v>
      </c>
    </row>
    <row r="38" spans="1:9" x14ac:dyDescent="0.25">
      <c r="A38" s="21">
        <v>31</v>
      </c>
      <c r="B38" s="37" t="s">
        <v>36</v>
      </c>
      <c r="C38" s="23">
        <v>12001799</v>
      </c>
      <c r="D38" s="24">
        <v>189875.27</v>
      </c>
      <c r="E38" s="24">
        <f t="shared" si="0"/>
        <v>225951.57129999998</v>
      </c>
      <c r="F38" s="24">
        <v>29203.64</v>
      </c>
      <c r="G38" s="24">
        <f t="shared" si="1"/>
        <v>34752.331599999998</v>
      </c>
      <c r="H38" s="24">
        <f t="shared" si="2"/>
        <v>219078.90999999997</v>
      </c>
      <c r="I38" s="24">
        <f t="shared" si="3"/>
        <v>260703.9</v>
      </c>
    </row>
    <row r="39" spans="1:9" x14ac:dyDescent="0.25">
      <c r="A39" s="21">
        <v>32</v>
      </c>
      <c r="B39" s="37" t="s">
        <v>37</v>
      </c>
      <c r="C39" s="23">
        <v>12001613</v>
      </c>
      <c r="D39" s="24">
        <f>368792.64</f>
        <v>368792.64</v>
      </c>
      <c r="E39" s="24">
        <f t="shared" si="0"/>
        <v>438863.24160000001</v>
      </c>
      <c r="F39" s="24">
        <f>103641.85</f>
        <v>103641.85</v>
      </c>
      <c r="G39" s="24">
        <f t="shared" si="1"/>
        <v>123333.8015</v>
      </c>
      <c r="H39" s="24">
        <f t="shared" si="2"/>
        <v>472434.49</v>
      </c>
      <c r="I39" s="24">
        <f t="shared" si="3"/>
        <v>562197.04</v>
      </c>
    </row>
    <row r="40" spans="1:9" x14ac:dyDescent="0.25">
      <c r="A40" s="21">
        <v>33</v>
      </c>
      <c r="B40" s="37" t="s">
        <v>38</v>
      </c>
      <c r="C40" s="23">
        <v>12002457</v>
      </c>
      <c r="D40" s="24">
        <v>321350.44</v>
      </c>
      <c r="E40" s="24">
        <f t="shared" si="0"/>
        <v>382407.02359999996</v>
      </c>
      <c r="F40" s="24">
        <v>48340.31</v>
      </c>
      <c r="G40" s="24">
        <f t="shared" si="1"/>
        <v>57524.968899999993</v>
      </c>
      <c r="H40" s="24">
        <f t="shared" si="2"/>
        <v>369690.75</v>
      </c>
      <c r="I40" s="24">
        <f t="shared" si="3"/>
        <v>439931.99</v>
      </c>
    </row>
    <row r="41" spans="1:9" ht="39" x14ac:dyDescent="0.25">
      <c r="A41" s="21">
        <v>34</v>
      </c>
      <c r="B41" s="37" t="s">
        <v>39</v>
      </c>
      <c r="C41" s="23">
        <v>12001361</v>
      </c>
      <c r="D41" s="24">
        <f>275905.76</f>
        <v>275905.76</v>
      </c>
      <c r="E41" s="24">
        <f t="shared" si="0"/>
        <v>328327.85440000001</v>
      </c>
      <c r="F41" s="24">
        <f>60985.86</f>
        <v>60985.86</v>
      </c>
      <c r="G41" s="24">
        <f t="shared" si="1"/>
        <v>72573.1734</v>
      </c>
      <c r="H41" s="24">
        <f t="shared" si="2"/>
        <v>336891.62</v>
      </c>
      <c r="I41" s="24">
        <f t="shared" si="3"/>
        <v>400901.03</v>
      </c>
    </row>
    <row r="42" spans="1:9" ht="45" customHeight="1" x14ac:dyDescent="0.25">
      <c r="A42" s="21">
        <v>35</v>
      </c>
      <c r="B42" s="37" t="s">
        <v>116</v>
      </c>
      <c r="C42" s="23">
        <v>12013846</v>
      </c>
      <c r="D42" s="24">
        <v>860831.46</v>
      </c>
      <c r="E42" s="24">
        <f t="shared" si="0"/>
        <v>1024389.4373999999</v>
      </c>
      <c r="F42" s="24">
        <v>104716.55</v>
      </c>
      <c r="G42" s="24">
        <f t="shared" si="1"/>
        <v>124612.6945</v>
      </c>
      <c r="H42" s="24">
        <f t="shared" si="2"/>
        <v>965548.01</v>
      </c>
      <c r="I42" s="24">
        <f t="shared" si="3"/>
        <v>1149002.1299999999</v>
      </c>
    </row>
    <row r="43" spans="1:9" ht="26.25" x14ac:dyDescent="0.25">
      <c r="A43" s="21">
        <v>36</v>
      </c>
      <c r="B43" s="37" t="s">
        <v>41</v>
      </c>
      <c r="C43" s="23">
        <v>12006510</v>
      </c>
      <c r="D43" s="24">
        <v>622533.15</v>
      </c>
      <c r="E43" s="24">
        <f t="shared" si="0"/>
        <v>740814.44849999994</v>
      </c>
      <c r="F43" s="24">
        <v>163264.09</v>
      </c>
      <c r="G43" s="24">
        <f t="shared" si="1"/>
        <v>194284.2671</v>
      </c>
      <c r="H43" s="24">
        <f t="shared" si="2"/>
        <v>785797.24</v>
      </c>
      <c r="I43" s="24">
        <f t="shared" si="3"/>
        <v>935098.72</v>
      </c>
    </row>
    <row r="44" spans="1:9" ht="26.25" x14ac:dyDescent="0.25">
      <c r="A44" s="21">
        <v>37</v>
      </c>
      <c r="B44" s="37" t="s">
        <v>42</v>
      </c>
      <c r="C44" s="23">
        <v>12002294</v>
      </c>
      <c r="D44" s="24">
        <v>464167.1</v>
      </c>
      <c r="E44" s="24">
        <f t="shared" si="0"/>
        <v>552358.84899999993</v>
      </c>
      <c r="F44" s="24">
        <v>75673.39</v>
      </c>
      <c r="G44" s="24">
        <f t="shared" si="1"/>
        <v>90051.334099999993</v>
      </c>
      <c r="H44" s="24">
        <f t="shared" si="2"/>
        <v>539840.49</v>
      </c>
      <c r="I44" s="24">
        <f t="shared" si="3"/>
        <v>642410.18000000005</v>
      </c>
    </row>
    <row r="45" spans="1:9" ht="26.25" x14ac:dyDescent="0.25">
      <c r="A45" s="21">
        <v>38</v>
      </c>
      <c r="B45" s="37" t="s">
        <v>43</v>
      </c>
      <c r="C45" s="22"/>
      <c r="D45" s="24">
        <v>172957.13</v>
      </c>
      <c r="E45" s="24">
        <f t="shared" si="0"/>
        <v>205818.9847</v>
      </c>
      <c r="F45" s="24">
        <v>32589.360000000001</v>
      </c>
      <c r="G45" s="24">
        <f t="shared" si="1"/>
        <v>38781.338400000001</v>
      </c>
      <c r="H45" s="24">
        <f t="shared" si="2"/>
        <v>205546.49</v>
      </c>
      <c r="I45" s="24">
        <f t="shared" si="3"/>
        <v>244600.32000000001</v>
      </c>
    </row>
    <row r="46" spans="1:9" ht="26.25" x14ac:dyDescent="0.25">
      <c r="A46" s="21">
        <v>39</v>
      </c>
      <c r="B46" s="37" t="s">
        <v>44</v>
      </c>
      <c r="C46" s="22"/>
      <c r="D46" s="24">
        <v>241956.84</v>
      </c>
      <c r="E46" s="24">
        <f t="shared" si="0"/>
        <v>287928.63959999999</v>
      </c>
      <c r="F46" s="24">
        <v>30732.74</v>
      </c>
      <c r="G46" s="24">
        <f t="shared" si="1"/>
        <v>36571.960599999999</v>
      </c>
      <c r="H46" s="24">
        <f t="shared" si="2"/>
        <v>272689.58</v>
      </c>
      <c r="I46" s="24">
        <f t="shared" si="3"/>
        <v>324500.59999999998</v>
      </c>
    </row>
    <row r="47" spans="1:9" ht="26.25" x14ac:dyDescent="0.25">
      <c r="A47" s="21">
        <v>40</v>
      </c>
      <c r="B47" s="37" t="s">
        <v>45</v>
      </c>
      <c r="C47" s="23">
        <v>12002470</v>
      </c>
      <c r="D47" s="24"/>
      <c r="E47" s="24">
        <f t="shared" si="0"/>
        <v>0</v>
      </c>
      <c r="F47" s="24">
        <v>288925.65000000002</v>
      </c>
      <c r="G47" s="24">
        <f t="shared" si="1"/>
        <v>343821.52350000001</v>
      </c>
      <c r="H47" s="24">
        <f t="shared" si="2"/>
        <v>288925.65000000002</v>
      </c>
      <c r="I47" s="24">
        <f t="shared" si="3"/>
        <v>343821.52</v>
      </c>
    </row>
    <row r="48" spans="1:9" ht="26.25" x14ac:dyDescent="0.25">
      <c r="A48" s="21">
        <v>41</v>
      </c>
      <c r="B48" s="37" t="s">
        <v>46</v>
      </c>
      <c r="C48" s="22"/>
      <c r="D48" s="24">
        <v>615391.61</v>
      </c>
      <c r="E48" s="24">
        <f t="shared" si="0"/>
        <v>732316.0159</v>
      </c>
      <c r="F48" s="24">
        <v>147434.79</v>
      </c>
      <c r="G48" s="24">
        <f t="shared" si="1"/>
        <v>175447.4001</v>
      </c>
      <c r="H48" s="24">
        <f t="shared" si="2"/>
        <v>762826.4</v>
      </c>
      <c r="I48" s="24">
        <f t="shared" si="3"/>
        <v>907763.42</v>
      </c>
    </row>
    <row r="49" spans="1:9" x14ac:dyDescent="0.25">
      <c r="A49" s="21">
        <v>42</v>
      </c>
      <c r="B49" s="37" t="s">
        <v>47</v>
      </c>
      <c r="C49" s="23">
        <v>12001803</v>
      </c>
      <c r="D49" s="24">
        <v>374227.71</v>
      </c>
      <c r="E49" s="24">
        <f t="shared" si="0"/>
        <v>445330.97490000003</v>
      </c>
      <c r="F49" s="24">
        <v>120286.43</v>
      </c>
      <c r="G49" s="24">
        <f t="shared" si="1"/>
        <v>143140.8517</v>
      </c>
      <c r="H49" s="24">
        <f t="shared" si="2"/>
        <v>494514.14</v>
      </c>
      <c r="I49" s="24">
        <f t="shared" si="3"/>
        <v>588471.82999999996</v>
      </c>
    </row>
    <row r="50" spans="1:9" x14ac:dyDescent="0.25">
      <c r="A50" s="21">
        <v>43</v>
      </c>
      <c r="B50" s="37" t="s">
        <v>48</v>
      </c>
      <c r="C50" s="23">
        <v>12001798</v>
      </c>
      <c r="D50" s="24">
        <v>397592.16</v>
      </c>
      <c r="E50" s="24">
        <f t="shared" si="0"/>
        <v>473134.67039999994</v>
      </c>
      <c r="F50" s="24">
        <v>130868.87</v>
      </c>
      <c r="G50" s="24">
        <f t="shared" si="1"/>
        <v>155733.9553</v>
      </c>
      <c r="H50" s="24">
        <f t="shared" si="2"/>
        <v>528461.03</v>
      </c>
      <c r="I50" s="24">
        <f t="shared" si="3"/>
        <v>628868.63</v>
      </c>
    </row>
    <row r="51" spans="1:9" x14ac:dyDescent="0.25">
      <c r="A51" s="21">
        <v>44</v>
      </c>
      <c r="B51" s="37" t="s">
        <v>49</v>
      </c>
      <c r="C51" s="23">
        <v>12002277</v>
      </c>
      <c r="D51" s="24">
        <v>328795.06</v>
      </c>
      <c r="E51" s="24">
        <f t="shared" si="0"/>
        <v>391266.1214</v>
      </c>
      <c r="F51" s="24">
        <v>90136.6</v>
      </c>
      <c r="G51" s="24">
        <f t="shared" si="1"/>
        <v>107262.554</v>
      </c>
      <c r="H51" s="24">
        <f t="shared" si="2"/>
        <v>418931.66000000003</v>
      </c>
      <c r="I51" s="24">
        <f t="shared" si="3"/>
        <v>498528.68</v>
      </c>
    </row>
    <row r="52" spans="1:9" x14ac:dyDescent="0.25">
      <c r="A52" s="21">
        <v>45</v>
      </c>
      <c r="B52" s="37" t="s">
        <v>50</v>
      </c>
      <c r="C52" s="23">
        <v>12001570</v>
      </c>
      <c r="D52" s="24">
        <v>435829.6</v>
      </c>
      <c r="E52" s="24">
        <f t="shared" si="0"/>
        <v>518637.22399999993</v>
      </c>
      <c r="F52" s="24">
        <v>93770.89</v>
      </c>
      <c r="G52" s="24">
        <f t="shared" si="1"/>
        <v>111587.3591</v>
      </c>
      <c r="H52" s="24">
        <f t="shared" si="2"/>
        <v>529600.49</v>
      </c>
      <c r="I52" s="24">
        <f t="shared" si="3"/>
        <v>630224.57999999996</v>
      </c>
    </row>
    <row r="53" spans="1:9" x14ac:dyDescent="0.25">
      <c r="A53" s="21">
        <v>46</v>
      </c>
      <c r="B53" s="37" t="s">
        <v>51</v>
      </c>
      <c r="C53" s="23">
        <v>12001871</v>
      </c>
      <c r="D53" s="24">
        <v>172060.63</v>
      </c>
      <c r="E53" s="24">
        <f t="shared" si="0"/>
        <v>204752.14970000001</v>
      </c>
      <c r="F53" s="24">
        <v>39610.61</v>
      </c>
      <c r="G53" s="24">
        <f t="shared" si="1"/>
        <v>47136.625899999999</v>
      </c>
      <c r="H53" s="24">
        <f t="shared" si="2"/>
        <v>211671.24</v>
      </c>
      <c r="I53" s="24">
        <f t="shared" si="3"/>
        <v>251888.78</v>
      </c>
    </row>
    <row r="54" spans="1:9" x14ac:dyDescent="0.25">
      <c r="A54" s="21">
        <v>47</v>
      </c>
      <c r="B54" s="37" t="s">
        <v>52</v>
      </c>
      <c r="C54" s="23">
        <v>12002361</v>
      </c>
      <c r="D54" s="24">
        <v>185188.41</v>
      </c>
      <c r="E54" s="24">
        <f t="shared" si="0"/>
        <v>220374.20790000001</v>
      </c>
      <c r="F54" s="24">
        <v>11438.91</v>
      </c>
      <c r="G54" s="24">
        <f t="shared" si="1"/>
        <v>13612.302899999999</v>
      </c>
      <c r="H54" s="24">
        <f t="shared" si="2"/>
        <v>196627.32</v>
      </c>
      <c r="I54" s="24">
        <f t="shared" si="3"/>
        <v>233986.51</v>
      </c>
    </row>
    <row r="55" spans="1:9" x14ac:dyDescent="0.25">
      <c r="A55" s="21">
        <v>48</v>
      </c>
      <c r="B55" s="37" t="s">
        <v>117</v>
      </c>
      <c r="C55" s="23">
        <v>12002341</v>
      </c>
      <c r="D55" s="24">
        <f>418791.42</f>
        <v>418791.42</v>
      </c>
      <c r="E55" s="24">
        <f t="shared" si="0"/>
        <v>498361.78979999997</v>
      </c>
      <c r="F55" s="24">
        <f>100055.16+26668.81</f>
        <v>126723.97</v>
      </c>
      <c r="G55" s="24">
        <f t="shared" si="1"/>
        <v>150801.52429999999</v>
      </c>
      <c r="H55" s="24">
        <f t="shared" si="2"/>
        <v>545515.39</v>
      </c>
      <c r="I55" s="24">
        <f t="shared" si="3"/>
        <v>649163.31000000006</v>
      </c>
    </row>
    <row r="56" spans="1:9" ht="26.25" x14ac:dyDescent="0.25">
      <c r="A56" s="21">
        <v>49</v>
      </c>
      <c r="B56" s="37" t="s">
        <v>54</v>
      </c>
      <c r="C56" s="23">
        <v>12001673</v>
      </c>
      <c r="D56" s="24">
        <v>170663.16</v>
      </c>
      <c r="E56" s="24">
        <f t="shared" si="0"/>
        <v>203089.16039999999</v>
      </c>
      <c r="F56" s="24">
        <v>40369.15</v>
      </c>
      <c r="G56" s="24">
        <f t="shared" si="1"/>
        <v>48039.288500000002</v>
      </c>
      <c r="H56" s="24">
        <f t="shared" si="2"/>
        <v>211032.31</v>
      </c>
      <c r="I56" s="24">
        <f t="shared" si="3"/>
        <v>251128.45</v>
      </c>
    </row>
    <row r="57" spans="1:9" x14ac:dyDescent="0.25">
      <c r="A57" s="21">
        <v>50</v>
      </c>
      <c r="B57" s="37" t="s">
        <v>118</v>
      </c>
      <c r="C57" s="23">
        <v>12001590</v>
      </c>
      <c r="D57" s="24">
        <v>175238.52</v>
      </c>
      <c r="E57" s="24">
        <f t="shared" si="0"/>
        <v>208533.83879999997</v>
      </c>
      <c r="F57" s="24">
        <v>52438.41</v>
      </c>
      <c r="G57" s="24">
        <f t="shared" si="1"/>
        <v>62401.707900000001</v>
      </c>
      <c r="H57" s="24">
        <f t="shared" si="2"/>
        <v>227676.93</v>
      </c>
      <c r="I57" s="24">
        <f t="shared" si="3"/>
        <v>270935.55</v>
      </c>
    </row>
    <row r="58" spans="1:9" x14ac:dyDescent="0.25">
      <c r="A58" s="21">
        <v>51</v>
      </c>
      <c r="B58" s="37" t="s">
        <v>56</v>
      </c>
      <c r="C58" s="23">
        <v>12001685</v>
      </c>
      <c r="D58" s="24">
        <v>189896.24</v>
      </c>
      <c r="E58" s="24">
        <f t="shared" si="0"/>
        <v>225976.52559999996</v>
      </c>
      <c r="F58" s="24">
        <v>37922.76</v>
      </c>
      <c r="G58" s="24">
        <f t="shared" si="1"/>
        <v>45128.0844</v>
      </c>
      <c r="H58" s="24">
        <f t="shared" si="2"/>
        <v>227819</v>
      </c>
      <c r="I58" s="24">
        <f t="shared" si="3"/>
        <v>271104.61</v>
      </c>
    </row>
    <row r="59" spans="1:9" x14ac:dyDescent="0.25">
      <c r="A59" s="21">
        <v>52</v>
      </c>
      <c r="B59" s="37" t="s">
        <v>119</v>
      </c>
      <c r="C59" s="23">
        <v>12001645</v>
      </c>
      <c r="D59" s="24">
        <v>199188.99</v>
      </c>
      <c r="E59" s="24">
        <f t="shared" si="0"/>
        <v>237034.89809999999</v>
      </c>
      <c r="F59" s="24">
        <v>0</v>
      </c>
      <c r="G59" s="24">
        <f t="shared" si="1"/>
        <v>0</v>
      </c>
      <c r="H59" s="24">
        <f t="shared" si="2"/>
        <v>199188.99</v>
      </c>
      <c r="I59" s="24">
        <f t="shared" si="3"/>
        <v>237034.9</v>
      </c>
    </row>
    <row r="60" spans="1:9" ht="39" x14ac:dyDescent="0.25">
      <c r="A60" s="21">
        <v>53</v>
      </c>
      <c r="B60" s="37" t="s">
        <v>103</v>
      </c>
      <c r="C60" s="23">
        <v>12001629</v>
      </c>
      <c r="D60" s="24">
        <v>203568.13</v>
      </c>
      <c r="E60" s="24">
        <f t="shared" si="0"/>
        <v>242246.0747</v>
      </c>
      <c r="F60" s="24">
        <v>49576.5</v>
      </c>
      <c r="G60" s="24">
        <f t="shared" si="1"/>
        <v>58996.034999999996</v>
      </c>
      <c r="H60" s="24">
        <f t="shared" si="2"/>
        <v>253144.63</v>
      </c>
      <c r="I60" s="24">
        <f t="shared" si="3"/>
        <v>301242.11</v>
      </c>
    </row>
    <row r="61" spans="1:9" x14ac:dyDescent="0.25">
      <c r="A61" s="21">
        <v>54</v>
      </c>
      <c r="B61" s="37" t="s">
        <v>58</v>
      </c>
      <c r="C61" s="23">
        <v>12001765</v>
      </c>
      <c r="D61" s="24">
        <v>123904.13</v>
      </c>
      <c r="E61" s="24">
        <f t="shared" si="0"/>
        <v>147445.91469999999</v>
      </c>
      <c r="F61" s="24">
        <v>30545.759999999998</v>
      </c>
      <c r="G61" s="24">
        <f t="shared" si="1"/>
        <v>36349.454399999995</v>
      </c>
      <c r="H61" s="24">
        <f t="shared" si="2"/>
        <v>154449.89000000001</v>
      </c>
      <c r="I61" s="24">
        <f t="shared" si="3"/>
        <v>183795.37</v>
      </c>
    </row>
    <row r="62" spans="1:9" x14ac:dyDescent="0.25">
      <c r="A62" s="21">
        <v>55</v>
      </c>
      <c r="B62" s="37" t="s">
        <v>120</v>
      </c>
      <c r="C62" s="23">
        <v>12001597</v>
      </c>
      <c r="D62" s="24">
        <v>336229.49</v>
      </c>
      <c r="E62" s="24">
        <f t="shared" si="0"/>
        <v>400113.0931</v>
      </c>
      <c r="F62" s="24">
        <v>55123.26</v>
      </c>
      <c r="G62" s="24">
        <f t="shared" si="1"/>
        <v>65596.679399999994</v>
      </c>
      <c r="H62" s="24">
        <f t="shared" si="2"/>
        <v>391352.75</v>
      </c>
      <c r="I62" s="24">
        <f t="shared" si="3"/>
        <v>465709.77</v>
      </c>
    </row>
    <row r="63" spans="1:9" ht="26.25" x14ac:dyDescent="0.25">
      <c r="A63" s="21">
        <v>56</v>
      </c>
      <c r="B63" s="37" t="s">
        <v>60</v>
      </c>
      <c r="C63" s="23">
        <v>12001710</v>
      </c>
      <c r="D63" s="24">
        <f>961529.34+65515.63</f>
        <v>1027044.97</v>
      </c>
      <c r="E63" s="24">
        <f t="shared" si="0"/>
        <v>1222183.5142999999</v>
      </c>
      <c r="F63" s="24">
        <v>155969.59</v>
      </c>
      <c r="G63" s="24">
        <f t="shared" si="1"/>
        <v>185603.81209999998</v>
      </c>
      <c r="H63" s="24">
        <f t="shared" si="2"/>
        <v>1183014.56</v>
      </c>
      <c r="I63" s="24">
        <f t="shared" si="3"/>
        <v>1407787.33</v>
      </c>
    </row>
    <row r="64" spans="1:9" x14ac:dyDescent="0.25">
      <c r="A64" s="21">
        <v>57</v>
      </c>
      <c r="B64" s="37" t="s">
        <v>61</v>
      </c>
      <c r="C64" s="22"/>
      <c r="D64" s="24">
        <v>169137.92000000001</v>
      </c>
      <c r="E64" s="24">
        <f t="shared" si="0"/>
        <v>201274.12480000002</v>
      </c>
      <c r="F64" s="24">
        <v>21866.52</v>
      </c>
      <c r="G64" s="24">
        <f t="shared" si="1"/>
        <v>26021.158800000001</v>
      </c>
      <c r="H64" s="24">
        <f t="shared" si="2"/>
        <v>191004.44</v>
      </c>
      <c r="I64" s="24">
        <f t="shared" si="3"/>
        <v>227295.28</v>
      </c>
    </row>
    <row r="65" spans="1:9" x14ac:dyDescent="0.25">
      <c r="A65" s="21">
        <v>58</v>
      </c>
      <c r="B65" s="37" t="s">
        <v>62</v>
      </c>
      <c r="C65" s="23">
        <v>12002351</v>
      </c>
      <c r="D65" s="24">
        <f>730268.3</f>
        <v>730268.3</v>
      </c>
      <c r="E65" s="24">
        <f t="shared" si="0"/>
        <v>869019.277</v>
      </c>
      <c r="F65" s="24">
        <v>223494.09</v>
      </c>
      <c r="G65" s="24">
        <f t="shared" si="1"/>
        <v>265957.96710000001</v>
      </c>
      <c r="H65" s="24">
        <f t="shared" si="2"/>
        <v>953762.39</v>
      </c>
      <c r="I65" s="24">
        <f t="shared" si="3"/>
        <v>1134977.24</v>
      </c>
    </row>
    <row r="66" spans="1:9" ht="26.25" x14ac:dyDescent="0.25">
      <c r="A66" s="21">
        <v>59</v>
      </c>
      <c r="B66" s="37" t="s">
        <v>63</v>
      </c>
      <c r="C66" s="23">
        <v>12002304</v>
      </c>
      <c r="D66" s="24"/>
      <c r="E66" s="24">
        <f t="shared" si="0"/>
        <v>0</v>
      </c>
      <c r="F66" s="24">
        <v>152417.1</v>
      </c>
      <c r="G66" s="24">
        <f t="shared" si="1"/>
        <v>181376.34899999999</v>
      </c>
      <c r="H66" s="24">
        <f t="shared" si="2"/>
        <v>152417.1</v>
      </c>
      <c r="I66" s="24">
        <f t="shared" si="3"/>
        <v>181376.35</v>
      </c>
    </row>
    <row r="67" spans="1:9" ht="20.25" customHeight="1" x14ac:dyDescent="0.25">
      <c r="A67" s="21">
        <v>60</v>
      </c>
      <c r="B67" s="37" t="s">
        <v>124</v>
      </c>
      <c r="C67" s="23">
        <v>12002243</v>
      </c>
      <c r="D67" s="24">
        <v>467199.44</v>
      </c>
      <c r="E67" s="24">
        <f t="shared" si="0"/>
        <v>555967.33360000001</v>
      </c>
      <c r="F67" s="24">
        <v>205216.77</v>
      </c>
      <c r="G67" s="24">
        <f t="shared" si="1"/>
        <v>244207.95629999999</v>
      </c>
      <c r="H67" s="24">
        <f t="shared" si="2"/>
        <v>672416.21</v>
      </c>
      <c r="I67" s="24">
        <f t="shared" si="3"/>
        <v>800175.29</v>
      </c>
    </row>
    <row r="68" spans="1:9" x14ac:dyDescent="0.25">
      <c r="A68" s="21">
        <v>61</v>
      </c>
      <c r="B68" s="37" t="s">
        <v>121</v>
      </c>
      <c r="C68" s="22"/>
      <c r="D68" s="24">
        <v>250916.84</v>
      </c>
      <c r="E68" s="24">
        <f t="shared" si="0"/>
        <v>298591.03959999996</v>
      </c>
      <c r="F68" s="24">
        <v>58251.040000000001</v>
      </c>
      <c r="G68" s="24">
        <f t="shared" si="1"/>
        <v>69318.737599999993</v>
      </c>
      <c r="H68" s="24">
        <f t="shared" si="2"/>
        <v>309167.88</v>
      </c>
      <c r="I68" s="24">
        <f t="shared" si="3"/>
        <v>367909.78</v>
      </c>
    </row>
    <row r="69" spans="1:9" ht="39" x14ac:dyDescent="0.25">
      <c r="A69" s="21">
        <v>62</v>
      </c>
      <c r="B69" s="37" t="s">
        <v>66</v>
      </c>
      <c r="C69" s="23">
        <v>12001452</v>
      </c>
      <c r="D69" s="24">
        <v>411053.19</v>
      </c>
      <c r="E69" s="24">
        <f t="shared" si="0"/>
        <v>489153.29609999998</v>
      </c>
      <c r="F69" s="24">
        <v>96193.46</v>
      </c>
      <c r="G69" s="24">
        <f>F69*1.19</f>
        <v>114470.21740000001</v>
      </c>
      <c r="H69" s="24">
        <f t="shared" si="2"/>
        <v>507246.65</v>
      </c>
      <c r="I69" s="24">
        <f t="shared" si="3"/>
        <v>603623.51</v>
      </c>
    </row>
    <row r="70" spans="1:9" x14ac:dyDescent="0.25">
      <c r="A70" s="21">
        <v>63</v>
      </c>
      <c r="B70" s="37" t="s">
        <v>67</v>
      </c>
      <c r="C70" s="23">
        <v>12001838</v>
      </c>
      <c r="D70" s="24">
        <v>234592.33</v>
      </c>
      <c r="E70" s="24">
        <f t="shared" si="0"/>
        <v>279164.87269999995</v>
      </c>
      <c r="F70" s="24">
        <v>0</v>
      </c>
      <c r="G70" s="24">
        <f t="shared" ref="G70:G92" si="4">F70*1.19</f>
        <v>0</v>
      </c>
      <c r="H70" s="24">
        <f t="shared" si="2"/>
        <v>234592.33</v>
      </c>
      <c r="I70" s="24">
        <f t="shared" si="3"/>
        <v>279164.87</v>
      </c>
    </row>
    <row r="71" spans="1:9" x14ac:dyDescent="0.25">
      <c r="A71" s="21">
        <v>64</v>
      </c>
      <c r="B71" s="37" t="s">
        <v>68</v>
      </c>
      <c r="C71" s="23">
        <v>12001304</v>
      </c>
      <c r="D71" s="24">
        <f>886197.21+56367.3</f>
        <v>942564.51</v>
      </c>
      <c r="E71" s="24">
        <f t="shared" si="0"/>
        <v>1121651.7668999999</v>
      </c>
      <c r="F71" s="24">
        <v>99390.61</v>
      </c>
      <c r="G71" s="24">
        <f t="shared" si="4"/>
        <v>118274.8259</v>
      </c>
      <c r="H71" s="24">
        <f t="shared" si="2"/>
        <v>1041955.12</v>
      </c>
      <c r="I71" s="24">
        <f t="shared" si="3"/>
        <v>1239926.5900000001</v>
      </c>
    </row>
    <row r="72" spans="1:9" x14ac:dyDescent="0.25">
      <c r="A72" s="21">
        <v>65</v>
      </c>
      <c r="B72" s="37" t="s">
        <v>69</v>
      </c>
      <c r="C72" s="23">
        <v>12001633</v>
      </c>
      <c r="D72" s="24">
        <v>135815.67000000001</v>
      </c>
      <c r="E72" s="24">
        <f t="shared" ref="E72:E79" si="5">D72*1.19</f>
        <v>161620.64730000001</v>
      </c>
      <c r="F72" s="24">
        <v>35961.33</v>
      </c>
      <c r="G72" s="24">
        <f t="shared" si="4"/>
        <v>42793.9827</v>
      </c>
      <c r="H72" s="24">
        <f t="shared" si="2"/>
        <v>171777</v>
      </c>
      <c r="I72" s="24">
        <f t="shared" si="3"/>
        <v>204414.63</v>
      </c>
    </row>
    <row r="73" spans="1:9" x14ac:dyDescent="0.25">
      <c r="A73" s="21">
        <v>66</v>
      </c>
      <c r="B73" s="37" t="s">
        <v>70</v>
      </c>
      <c r="C73" s="23">
        <v>12002311</v>
      </c>
      <c r="D73" s="24">
        <v>100351.57</v>
      </c>
      <c r="E73" s="24">
        <f t="shared" si="5"/>
        <v>119418.3683</v>
      </c>
      <c r="F73" s="24">
        <v>47275.35</v>
      </c>
      <c r="G73" s="24">
        <f t="shared" si="4"/>
        <v>56257.666499999999</v>
      </c>
      <c r="H73" s="24">
        <f t="shared" ref="H73:H92" si="6">D73+F73</f>
        <v>147626.92000000001</v>
      </c>
      <c r="I73" s="24">
        <f t="shared" ref="I73:I92" si="7">ROUND(H73*1.19,2)</f>
        <v>175676.03</v>
      </c>
    </row>
    <row r="74" spans="1:9" ht="19.5" customHeight="1" x14ac:dyDescent="0.25">
      <c r="A74" s="21">
        <v>67</v>
      </c>
      <c r="B74" s="37" t="s">
        <v>71</v>
      </c>
      <c r="C74" s="23">
        <v>12001826</v>
      </c>
      <c r="D74" s="24">
        <v>864713.32</v>
      </c>
      <c r="E74" s="24">
        <f t="shared" si="5"/>
        <v>1029008.8507999999</v>
      </c>
      <c r="F74" s="24">
        <v>231728.38</v>
      </c>
      <c r="G74" s="24">
        <f t="shared" si="4"/>
        <v>275756.77220000001</v>
      </c>
      <c r="H74" s="24">
        <f t="shared" si="6"/>
        <v>1096441.7</v>
      </c>
      <c r="I74" s="24">
        <f t="shared" si="7"/>
        <v>1304765.6200000001</v>
      </c>
    </row>
    <row r="75" spans="1:9" ht="19.5" customHeight="1" x14ac:dyDescent="0.25">
      <c r="A75" s="21">
        <v>68</v>
      </c>
      <c r="B75" s="37" t="s">
        <v>72</v>
      </c>
      <c r="C75" s="23">
        <v>12001812</v>
      </c>
      <c r="D75" s="24">
        <v>230431.38</v>
      </c>
      <c r="E75" s="24">
        <f t="shared" si="5"/>
        <v>274213.34220000001</v>
      </c>
      <c r="F75" s="24">
        <v>49037.04</v>
      </c>
      <c r="G75" s="24">
        <f t="shared" si="4"/>
        <v>58354.077599999997</v>
      </c>
      <c r="H75" s="24">
        <f t="shared" si="6"/>
        <v>279468.42</v>
      </c>
      <c r="I75" s="24">
        <f t="shared" si="7"/>
        <v>332567.42</v>
      </c>
    </row>
    <row r="76" spans="1:9" ht="20.25" customHeight="1" x14ac:dyDescent="0.25">
      <c r="A76" s="21">
        <v>69</v>
      </c>
      <c r="B76" s="37" t="s">
        <v>73</v>
      </c>
      <c r="C76" s="23">
        <v>12002239</v>
      </c>
      <c r="D76" s="24">
        <v>499492.67</v>
      </c>
      <c r="E76" s="24">
        <f t="shared" si="5"/>
        <v>594396.27729999996</v>
      </c>
      <c r="F76" s="24">
        <v>96223.5</v>
      </c>
      <c r="G76" s="24">
        <f t="shared" si="4"/>
        <v>114505.965</v>
      </c>
      <c r="H76" s="24">
        <f t="shared" si="6"/>
        <v>595716.16999999993</v>
      </c>
      <c r="I76" s="24">
        <f t="shared" si="7"/>
        <v>708902.24</v>
      </c>
    </row>
    <row r="77" spans="1:9" ht="19.5" customHeight="1" x14ac:dyDescent="0.25">
      <c r="A77" s="21">
        <v>70</v>
      </c>
      <c r="B77" s="37" t="s">
        <v>74</v>
      </c>
      <c r="C77" s="23">
        <v>12002462</v>
      </c>
      <c r="D77" s="24">
        <v>274050.28999999998</v>
      </c>
      <c r="E77" s="24">
        <f t="shared" si="5"/>
        <v>326119.84509999998</v>
      </c>
      <c r="F77" s="24">
        <v>57103.199999999997</v>
      </c>
      <c r="G77" s="24">
        <f t="shared" si="4"/>
        <v>67952.80799999999</v>
      </c>
      <c r="H77" s="24">
        <f t="shared" si="6"/>
        <v>331153.49</v>
      </c>
      <c r="I77" s="24">
        <f t="shared" si="7"/>
        <v>394072.65</v>
      </c>
    </row>
    <row r="78" spans="1:9" ht="20.25" customHeight="1" x14ac:dyDescent="0.25">
      <c r="A78" s="21">
        <v>71</v>
      </c>
      <c r="B78" s="37" t="s">
        <v>75</v>
      </c>
      <c r="C78" s="23">
        <v>12001480</v>
      </c>
      <c r="D78" s="24">
        <v>485007.47</v>
      </c>
      <c r="E78" s="24">
        <f t="shared" si="5"/>
        <v>577158.88929999992</v>
      </c>
      <c r="F78" s="24">
        <v>119035.65</v>
      </c>
      <c r="G78" s="24">
        <f t="shared" si="4"/>
        <v>141652.42349999998</v>
      </c>
      <c r="H78" s="24">
        <f t="shared" si="6"/>
        <v>604043.12</v>
      </c>
      <c r="I78" s="24">
        <f t="shared" si="7"/>
        <v>718811.31</v>
      </c>
    </row>
    <row r="79" spans="1:9" ht="21" customHeight="1" x14ac:dyDescent="0.25">
      <c r="A79" s="21">
        <v>72</v>
      </c>
      <c r="B79" s="37" t="s">
        <v>73</v>
      </c>
      <c r="C79" s="23">
        <v>12002239</v>
      </c>
      <c r="D79" s="24">
        <v>151476.38</v>
      </c>
      <c r="E79" s="24">
        <f t="shared" si="5"/>
        <v>180256.8922</v>
      </c>
      <c r="F79" s="24">
        <v>38088.1</v>
      </c>
      <c r="G79" s="24">
        <f t="shared" si="4"/>
        <v>45324.838999999993</v>
      </c>
      <c r="H79" s="24">
        <f t="shared" si="6"/>
        <v>189564.48</v>
      </c>
      <c r="I79" s="24">
        <f t="shared" si="7"/>
        <v>225581.73</v>
      </c>
    </row>
    <row r="80" spans="1:9" ht="18.75" customHeight="1" x14ac:dyDescent="0.25">
      <c r="A80" s="21">
        <v>73</v>
      </c>
      <c r="B80" s="37" t="s">
        <v>77</v>
      </c>
      <c r="C80" s="23">
        <v>12001488</v>
      </c>
      <c r="D80" s="24">
        <v>70775.95</v>
      </c>
      <c r="E80" s="24">
        <v>80970.67</v>
      </c>
      <c r="F80" s="24">
        <v>20012.47</v>
      </c>
      <c r="G80" s="24">
        <f t="shared" si="4"/>
        <v>23814.8393</v>
      </c>
      <c r="H80" s="24">
        <f t="shared" si="6"/>
        <v>90788.42</v>
      </c>
      <c r="I80" s="24">
        <f t="shared" si="7"/>
        <v>108038.22</v>
      </c>
    </row>
    <row r="81" spans="1:12" ht="18.75" customHeight="1" x14ac:dyDescent="0.25">
      <c r="A81" s="21">
        <v>74</v>
      </c>
      <c r="B81" s="37" t="s">
        <v>78</v>
      </c>
      <c r="C81" s="23">
        <v>12002219</v>
      </c>
      <c r="D81" s="24">
        <v>131226.64000000001</v>
      </c>
      <c r="E81" s="24">
        <f t="shared" ref="E81:E86" si="8">D81*1.19</f>
        <v>156159.7016</v>
      </c>
      <c r="F81" s="24">
        <v>36934.769999999997</v>
      </c>
      <c r="G81" s="24">
        <f t="shared" si="4"/>
        <v>43952.376299999996</v>
      </c>
      <c r="H81" s="24">
        <f t="shared" si="6"/>
        <v>168161.41</v>
      </c>
      <c r="I81" s="24">
        <f t="shared" si="7"/>
        <v>200112.08</v>
      </c>
    </row>
    <row r="82" spans="1:12" ht="21" customHeight="1" x14ac:dyDescent="0.25">
      <c r="A82" s="21">
        <v>75</v>
      </c>
      <c r="B82" s="37" t="s">
        <v>79</v>
      </c>
      <c r="C82" s="23">
        <v>12002287</v>
      </c>
      <c r="D82" s="24">
        <v>504785.54</v>
      </c>
      <c r="E82" s="24">
        <f t="shared" si="8"/>
        <v>600694.79259999993</v>
      </c>
      <c r="F82" s="24">
        <v>142594.84</v>
      </c>
      <c r="G82" s="24">
        <f t="shared" si="4"/>
        <v>169687.8596</v>
      </c>
      <c r="H82" s="24">
        <f t="shared" si="6"/>
        <v>647380.38</v>
      </c>
      <c r="I82" s="24">
        <f t="shared" si="7"/>
        <v>770382.65</v>
      </c>
    </row>
    <row r="83" spans="1:12" x14ac:dyDescent="0.25">
      <c r="A83" s="21">
        <v>76</v>
      </c>
      <c r="B83" s="37" t="s">
        <v>80</v>
      </c>
      <c r="C83" s="23">
        <v>12001375</v>
      </c>
      <c r="D83" s="24">
        <v>114261.18</v>
      </c>
      <c r="E83" s="24">
        <f t="shared" si="8"/>
        <v>135970.80419999998</v>
      </c>
      <c r="F83" s="24">
        <v>42132.86</v>
      </c>
      <c r="G83" s="24">
        <f t="shared" si="4"/>
        <v>50138.1034</v>
      </c>
      <c r="H83" s="24">
        <f t="shared" si="6"/>
        <v>156394.03999999998</v>
      </c>
      <c r="I83" s="24">
        <f t="shared" si="7"/>
        <v>186108.91</v>
      </c>
    </row>
    <row r="84" spans="1:12" x14ac:dyDescent="0.25">
      <c r="A84" s="21">
        <v>77</v>
      </c>
      <c r="B84" s="37" t="s">
        <v>81</v>
      </c>
      <c r="C84" s="23">
        <v>12001366</v>
      </c>
      <c r="D84" s="24">
        <v>144028.54</v>
      </c>
      <c r="E84" s="24">
        <f t="shared" si="8"/>
        <v>171393.9626</v>
      </c>
      <c r="F84" s="24">
        <v>39576.699999999997</v>
      </c>
      <c r="G84" s="24">
        <f t="shared" si="4"/>
        <v>47096.272999999994</v>
      </c>
      <c r="H84" s="24">
        <f t="shared" si="6"/>
        <v>183605.24</v>
      </c>
      <c r="I84" s="24">
        <f t="shared" si="7"/>
        <v>218490.23999999999</v>
      </c>
    </row>
    <row r="85" spans="1:12" x14ac:dyDescent="0.25">
      <c r="A85" s="21">
        <v>78</v>
      </c>
      <c r="B85" s="37" t="s">
        <v>82</v>
      </c>
      <c r="C85" s="23">
        <v>12001782</v>
      </c>
      <c r="D85" s="24">
        <v>257217.18</v>
      </c>
      <c r="E85" s="24">
        <f t="shared" si="8"/>
        <v>306088.44419999997</v>
      </c>
      <c r="F85" s="24">
        <v>44544.72</v>
      </c>
      <c r="G85" s="24">
        <f t="shared" si="4"/>
        <v>53008.216800000002</v>
      </c>
      <c r="H85" s="24">
        <f t="shared" si="6"/>
        <v>301761.90000000002</v>
      </c>
      <c r="I85" s="24">
        <f t="shared" si="7"/>
        <v>359096.66</v>
      </c>
    </row>
    <row r="86" spans="1:12" x14ac:dyDescent="0.25">
      <c r="A86" s="21">
        <v>79</v>
      </c>
      <c r="B86" s="37" t="s">
        <v>83</v>
      </c>
      <c r="C86" s="23">
        <v>12002286</v>
      </c>
      <c r="D86" s="24">
        <v>458059.65</v>
      </c>
      <c r="E86" s="24">
        <f t="shared" si="8"/>
        <v>545090.98349999997</v>
      </c>
      <c r="F86" s="24">
        <v>120177.98</v>
      </c>
      <c r="G86" s="24">
        <f t="shared" si="4"/>
        <v>143011.79619999998</v>
      </c>
      <c r="H86" s="24">
        <f t="shared" si="6"/>
        <v>578237.63</v>
      </c>
      <c r="I86" s="24">
        <f t="shared" si="7"/>
        <v>688102.78</v>
      </c>
    </row>
    <row r="87" spans="1:12" ht="39" x14ac:dyDescent="0.25">
      <c r="A87" s="21">
        <v>80</v>
      </c>
      <c r="B87" s="37" t="s">
        <v>113</v>
      </c>
      <c r="C87" s="23">
        <v>12008392</v>
      </c>
      <c r="D87" s="24">
        <f>164847.44+398310.93</f>
        <v>563158.37</v>
      </c>
      <c r="E87" s="24">
        <v>670158.46</v>
      </c>
      <c r="F87" s="24">
        <f>139509.06</f>
        <v>139509.06</v>
      </c>
      <c r="G87" s="24">
        <f t="shared" si="4"/>
        <v>166015.78139999998</v>
      </c>
      <c r="H87" s="24">
        <f t="shared" si="6"/>
        <v>702667.42999999993</v>
      </c>
      <c r="I87" s="24">
        <f t="shared" si="7"/>
        <v>836174.24</v>
      </c>
      <c r="J87" s="46">
        <f>I87+I88</f>
        <v>1805142.55</v>
      </c>
      <c r="K87" s="36"/>
    </row>
    <row r="88" spans="1:12" ht="39" x14ac:dyDescent="0.25">
      <c r="A88" s="21">
        <v>81</v>
      </c>
      <c r="B88" s="37" t="s">
        <v>112</v>
      </c>
      <c r="C88" s="23">
        <v>12008392</v>
      </c>
      <c r="D88" s="24">
        <v>748079.28</v>
      </c>
      <c r="E88" s="24">
        <v>802200.22</v>
      </c>
      <c r="F88" s="24">
        <v>66179.8</v>
      </c>
      <c r="G88" s="24">
        <f t="shared" si="4"/>
        <v>78753.962</v>
      </c>
      <c r="H88" s="24">
        <f t="shared" si="6"/>
        <v>814259.08000000007</v>
      </c>
      <c r="I88" s="24">
        <f t="shared" si="7"/>
        <v>968968.31</v>
      </c>
      <c r="J88" s="46"/>
    </row>
    <row r="89" spans="1:12" ht="51.75" x14ac:dyDescent="0.25">
      <c r="A89" s="21">
        <v>82</v>
      </c>
      <c r="B89" s="37" t="s">
        <v>110</v>
      </c>
      <c r="C89" s="25">
        <v>12008393</v>
      </c>
      <c r="D89" s="24">
        <f>922228.94+65526.17+2744795.94</f>
        <v>3732551.05</v>
      </c>
      <c r="E89" s="24">
        <v>4441735.67</v>
      </c>
      <c r="F89" s="24">
        <f>185129.29+293980.75</f>
        <v>479110.04000000004</v>
      </c>
      <c r="G89" s="24">
        <f t="shared" si="4"/>
        <v>570140.94760000007</v>
      </c>
      <c r="H89" s="24">
        <f t="shared" si="6"/>
        <v>4211661.09</v>
      </c>
      <c r="I89" s="24">
        <f t="shared" si="7"/>
        <v>5011876.7</v>
      </c>
    </row>
    <row r="90" spans="1:12" x14ac:dyDescent="0.25">
      <c r="A90" s="21">
        <v>83</v>
      </c>
      <c r="B90" s="37" t="s">
        <v>84</v>
      </c>
      <c r="C90" s="23">
        <v>12002317</v>
      </c>
      <c r="D90" s="24">
        <v>0</v>
      </c>
      <c r="E90" s="24">
        <v>0</v>
      </c>
      <c r="F90" s="24">
        <v>210325.02</v>
      </c>
      <c r="G90" s="24">
        <f t="shared" si="4"/>
        <v>250286.77379999997</v>
      </c>
      <c r="H90" s="24">
        <f t="shared" si="6"/>
        <v>210325.02</v>
      </c>
      <c r="I90" s="24">
        <f t="shared" si="7"/>
        <v>250286.77</v>
      </c>
    </row>
    <row r="91" spans="1:12" x14ac:dyDescent="0.25">
      <c r="A91" s="21">
        <v>84</v>
      </c>
      <c r="B91" s="37" t="s">
        <v>85</v>
      </c>
      <c r="C91" s="23">
        <v>12001401</v>
      </c>
      <c r="D91" s="24">
        <v>456200.99</v>
      </c>
      <c r="E91" s="24">
        <v>542879.18000000005</v>
      </c>
      <c r="F91" s="24">
        <v>119386.43</v>
      </c>
      <c r="G91" s="24">
        <f t="shared" si="4"/>
        <v>142069.8517</v>
      </c>
      <c r="H91" s="24">
        <f t="shared" si="6"/>
        <v>575587.41999999993</v>
      </c>
      <c r="I91" s="24">
        <f t="shared" si="7"/>
        <v>684949.03</v>
      </c>
    </row>
    <row r="92" spans="1:12" ht="26.25" x14ac:dyDescent="0.25">
      <c r="A92" s="21">
        <v>85</v>
      </c>
      <c r="B92" s="37" t="s">
        <v>59</v>
      </c>
      <c r="C92" s="23">
        <v>12001585</v>
      </c>
      <c r="D92" s="24">
        <v>322572.96999999997</v>
      </c>
      <c r="E92" s="24">
        <v>383861.83</v>
      </c>
      <c r="F92" s="24">
        <v>121988.86</v>
      </c>
      <c r="G92" s="24">
        <f t="shared" si="4"/>
        <v>145166.74340000001</v>
      </c>
      <c r="H92" s="24">
        <f t="shared" si="6"/>
        <v>444561.82999999996</v>
      </c>
      <c r="I92" s="24">
        <f t="shared" si="7"/>
        <v>529028.57999999996</v>
      </c>
      <c r="J92" s="40">
        <f>SUM(I8:I92)</f>
        <v>48231885.920000002</v>
      </c>
    </row>
    <row r="93" spans="1:12" x14ac:dyDescent="0.25">
      <c r="A93" s="19"/>
      <c r="B93" s="32"/>
      <c r="C93" s="33"/>
      <c r="D93" s="34"/>
      <c r="E93" s="34"/>
      <c r="F93" s="34"/>
      <c r="G93" s="39">
        <f>SUM(G8:G92)</f>
        <v>9187811.5832999982</v>
      </c>
      <c r="H93" s="34"/>
      <c r="I93" s="34"/>
    </row>
    <row r="94" spans="1:12" hidden="1" x14ac:dyDescent="0.25">
      <c r="A94" s="19"/>
      <c r="B94" s="32"/>
      <c r="C94" s="33"/>
      <c r="D94" s="34"/>
      <c r="E94" s="34"/>
      <c r="F94" s="34"/>
      <c r="G94" s="34"/>
      <c r="H94" s="34"/>
      <c r="I94" s="34"/>
    </row>
    <row r="95" spans="1:12" x14ac:dyDescent="0.25">
      <c r="A95" s="53" t="s">
        <v>160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35"/>
    </row>
    <row r="96" spans="1:12" x14ac:dyDescent="0.25">
      <c r="I96" s="19"/>
    </row>
    <row r="97" spans="1:17" ht="15" customHeight="1" x14ac:dyDescent="0.25">
      <c r="A97" s="50" t="s">
        <v>99</v>
      </c>
      <c r="B97" s="50" t="s">
        <v>100</v>
      </c>
      <c r="C97" s="21" t="s">
        <v>123</v>
      </c>
      <c r="D97" s="55" t="s">
        <v>90</v>
      </c>
      <c r="E97" s="55"/>
      <c r="F97" s="55"/>
      <c r="G97" s="55" t="s">
        <v>91</v>
      </c>
      <c r="H97" s="55"/>
      <c r="I97" s="55"/>
      <c r="J97" s="55"/>
      <c r="K97" s="55"/>
      <c r="L97" s="55"/>
      <c r="M97" s="28"/>
    </row>
    <row r="98" spans="1:17" ht="40.5" customHeight="1" x14ac:dyDescent="0.25">
      <c r="A98" s="50"/>
      <c r="B98" s="50"/>
      <c r="C98" s="21" t="s">
        <v>122</v>
      </c>
      <c r="D98" s="20" t="s">
        <v>148</v>
      </c>
      <c r="E98" s="21" t="s">
        <v>88</v>
      </c>
      <c r="F98" s="20" t="s">
        <v>131</v>
      </c>
      <c r="G98" s="20" t="s">
        <v>139</v>
      </c>
      <c r="H98" s="20" t="s">
        <v>140</v>
      </c>
      <c r="I98" s="21" t="s">
        <v>88</v>
      </c>
      <c r="J98" s="20" t="s">
        <v>131</v>
      </c>
      <c r="K98" s="26" t="s">
        <v>159</v>
      </c>
      <c r="L98" s="26" t="s">
        <v>158</v>
      </c>
      <c r="O98" s="27"/>
    </row>
    <row r="99" spans="1:17" ht="27.75" customHeight="1" x14ac:dyDescent="0.25">
      <c r="A99" s="29">
        <v>1</v>
      </c>
      <c r="B99" s="38" t="s">
        <v>0</v>
      </c>
      <c r="C99" s="29">
        <v>12001887</v>
      </c>
      <c r="D99" s="30" t="s">
        <v>149</v>
      </c>
      <c r="E99" s="30">
        <v>16845</v>
      </c>
      <c r="F99" s="30">
        <v>2560160.2000000002</v>
      </c>
      <c r="G99" s="30"/>
      <c r="H99" s="30"/>
      <c r="I99" s="30"/>
      <c r="J99" s="30">
        <v>0</v>
      </c>
      <c r="K99" s="30">
        <v>3691926.98</v>
      </c>
      <c r="L99" s="30">
        <f>SUM(F99+J99+K99)</f>
        <v>6252087.1799999997</v>
      </c>
    </row>
    <row r="100" spans="1:17" ht="25.5" customHeight="1" x14ac:dyDescent="0.25">
      <c r="A100" s="29">
        <v>2</v>
      </c>
      <c r="B100" s="38" t="s">
        <v>1</v>
      </c>
      <c r="C100" s="29">
        <v>12002279</v>
      </c>
      <c r="D100" s="31" t="s">
        <v>150</v>
      </c>
      <c r="E100" s="30">
        <f>4021+510.8</f>
        <v>4531.8</v>
      </c>
      <c r="F100" s="30">
        <v>760711.56</v>
      </c>
      <c r="G100" s="31" t="s">
        <v>132</v>
      </c>
      <c r="H100" s="31" t="s">
        <v>141</v>
      </c>
      <c r="I100" s="30">
        <v>1632</v>
      </c>
      <c r="J100" s="31">
        <v>161292.24</v>
      </c>
      <c r="K100" s="30">
        <v>821038.68</v>
      </c>
      <c r="L100" s="30">
        <f t="shared" ref="L100:L107" si="9">SUM(F100+J100+K100)</f>
        <v>1743042.48</v>
      </c>
    </row>
    <row r="101" spans="1:17" ht="24.75" customHeight="1" x14ac:dyDescent="0.25">
      <c r="A101" s="29">
        <v>3</v>
      </c>
      <c r="B101" s="38" t="s">
        <v>8</v>
      </c>
      <c r="C101" s="29">
        <v>12001728</v>
      </c>
      <c r="D101" s="31" t="s">
        <v>151</v>
      </c>
      <c r="E101" s="30">
        <f>1679+948</f>
        <v>2627</v>
      </c>
      <c r="F101" s="30">
        <v>544903.11</v>
      </c>
      <c r="G101" s="31" t="s">
        <v>133</v>
      </c>
      <c r="H101" s="31" t="s">
        <v>142</v>
      </c>
      <c r="I101" s="30">
        <v>740.1</v>
      </c>
      <c r="J101" s="31">
        <v>61938.45</v>
      </c>
      <c r="K101" s="30">
        <v>0.01</v>
      </c>
      <c r="L101" s="30">
        <f t="shared" si="9"/>
        <v>606841.56999999995</v>
      </c>
      <c r="Q101" s="1"/>
    </row>
    <row r="102" spans="1:17" ht="32.25" customHeight="1" x14ac:dyDescent="0.25">
      <c r="A102" s="29">
        <v>4</v>
      </c>
      <c r="B102" s="38" t="s">
        <v>14</v>
      </c>
      <c r="C102" s="29">
        <v>12002335</v>
      </c>
      <c r="D102" s="31" t="s">
        <v>152</v>
      </c>
      <c r="E102" s="30">
        <v>1987.5</v>
      </c>
      <c r="F102" s="30">
        <v>476640.2</v>
      </c>
      <c r="G102" s="31" t="s">
        <v>134</v>
      </c>
      <c r="H102" s="31" t="s">
        <v>143</v>
      </c>
      <c r="I102" s="30">
        <v>745.5</v>
      </c>
      <c r="J102" s="31">
        <v>61512.86</v>
      </c>
      <c r="K102" s="30">
        <v>92280.16</v>
      </c>
      <c r="L102" s="30">
        <f t="shared" si="9"/>
        <v>630433.22000000009</v>
      </c>
    </row>
    <row r="103" spans="1:17" x14ac:dyDescent="0.25">
      <c r="A103" s="29">
        <v>5</v>
      </c>
      <c r="B103" s="38" t="s">
        <v>17</v>
      </c>
      <c r="C103" s="29">
        <v>12001813</v>
      </c>
      <c r="D103" s="31" t="s">
        <v>153</v>
      </c>
      <c r="E103" s="30">
        <v>4438</v>
      </c>
      <c r="F103" s="30">
        <v>906614.07</v>
      </c>
      <c r="G103" s="31" t="s">
        <v>135</v>
      </c>
      <c r="H103" s="31" t="s">
        <v>144</v>
      </c>
      <c r="I103" s="30">
        <v>1256.46</v>
      </c>
      <c r="J103" s="31">
        <v>103673.3</v>
      </c>
      <c r="K103" s="30">
        <v>394660.83</v>
      </c>
      <c r="L103" s="30">
        <f t="shared" si="9"/>
        <v>1404948.2</v>
      </c>
    </row>
    <row r="104" spans="1:17" ht="30" x14ac:dyDescent="0.25">
      <c r="A104" s="29">
        <v>6</v>
      </c>
      <c r="B104" s="38" t="s">
        <v>93</v>
      </c>
      <c r="C104" s="29">
        <v>12002221</v>
      </c>
      <c r="D104" s="30" t="s">
        <v>154</v>
      </c>
      <c r="E104" s="30">
        <f>2045</f>
        <v>2045</v>
      </c>
      <c r="F104" s="30">
        <v>365567.86</v>
      </c>
      <c r="G104" s="30" t="s">
        <v>136</v>
      </c>
      <c r="H104" s="30" t="s">
        <v>145</v>
      </c>
      <c r="I104" s="30">
        <v>1504</v>
      </c>
      <c r="J104" s="31">
        <v>140454.57999999999</v>
      </c>
      <c r="K104" s="30">
        <v>0.01</v>
      </c>
      <c r="L104" s="30">
        <f t="shared" si="9"/>
        <v>506022.44999999995</v>
      </c>
    </row>
    <row r="105" spans="1:17" x14ac:dyDescent="0.25">
      <c r="A105" s="29">
        <v>7</v>
      </c>
      <c r="B105" s="38" t="s">
        <v>25</v>
      </c>
      <c r="C105" s="29">
        <v>12001506</v>
      </c>
      <c r="D105" s="30" t="s">
        <v>155</v>
      </c>
      <c r="E105" s="30">
        <v>1975</v>
      </c>
      <c r="F105" s="30">
        <v>362179.37</v>
      </c>
      <c r="G105" s="31" t="s">
        <v>137</v>
      </c>
      <c r="H105" s="31" t="s">
        <v>146</v>
      </c>
      <c r="I105" s="30">
        <v>1617</v>
      </c>
      <c r="J105" s="31">
        <v>140334.09</v>
      </c>
      <c r="K105" s="30">
        <v>117447.48</v>
      </c>
      <c r="L105" s="30">
        <f t="shared" si="9"/>
        <v>619960.93999999994</v>
      </c>
    </row>
    <row r="106" spans="1:17" x14ac:dyDescent="0.25">
      <c r="A106" s="29">
        <v>8</v>
      </c>
      <c r="B106" s="38" t="s">
        <v>92</v>
      </c>
      <c r="C106" s="29">
        <v>12001575</v>
      </c>
      <c r="D106" s="30" t="s">
        <v>156</v>
      </c>
      <c r="E106" s="30">
        <v>1807</v>
      </c>
      <c r="F106" s="30">
        <v>334858.51</v>
      </c>
      <c r="G106" s="30" t="s">
        <v>138</v>
      </c>
      <c r="H106" s="30" t="s">
        <v>147</v>
      </c>
      <c r="I106" s="30">
        <f>675</f>
        <v>675</v>
      </c>
      <c r="J106" s="31">
        <v>68768.05</v>
      </c>
      <c r="K106" s="30">
        <v>110569.26</v>
      </c>
      <c r="L106" s="30">
        <f t="shared" si="9"/>
        <v>514195.82</v>
      </c>
    </row>
    <row r="107" spans="1:17" ht="42.75" customHeight="1" x14ac:dyDescent="0.25">
      <c r="A107" s="29">
        <v>9</v>
      </c>
      <c r="B107" s="38" t="s">
        <v>130</v>
      </c>
      <c r="C107" s="29">
        <v>12005097</v>
      </c>
      <c r="D107" s="30" t="s">
        <v>157</v>
      </c>
      <c r="E107" s="30">
        <v>8835</v>
      </c>
      <c r="F107" s="30">
        <v>1771750.22</v>
      </c>
      <c r="G107" s="30"/>
      <c r="H107" s="30"/>
      <c r="I107" s="30"/>
      <c r="J107" s="30">
        <v>0</v>
      </c>
      <c r="K107" s="30">
        <v>2806378.27</v>
      </c>
      <c r="L107" s="30">
        <f t="shared" si="9"/>
        <v>4578128.49</v>
      </c>
      <c r="N107" s="40">
        <f>SUM(L99:L107)</f>
        <v>16855660.350000001</v>
      </c>
    </row>
    <row r="108" spans="1:17" ht="15.75" x14ac:dyDescent="0.25">
      <c r="F108" s="57"/>
      <c r="G108" s="58"/>
      <c r="H108" s="58"/>
      <c r="J108" s="40">
        <f>SUM(J99:J107)</f>
        <v>737973.57</v>
      </c>
    </row>
    <row r="109" spans="1:17" ht="15.75" x14ac:dyDescent="0.25">
      <c r="F109" s="57"/>
      <c r="G109" s="58" t="s">
        <v>165</v>
      </c>
      <c r="H109" s="58"/>
      <c r="J109" s="40">
        <f>G93+J108</f>
        <v>9925785.1532999985</v>
      </c>
      <c r="P109" s="40">
        <f>SUM(J92+N107)</f>
        <v>65087546.270000003</v>
      </c>
    </row>
    <row r="110" spans="1:17" ht="15.75" x14ac:dyDescent="0.25">
      <c r="F110" s="57"/>
      <c r="G110" s="58" t="s">
        <v>166</v>
      </c>
      <c r="H110" s="58"/>
    </row>
    <row r="111" spans="1:17" ht="15.75" x14ac:dyDescent="0.25">
      <c r="F111" s="57"/>
      <c r="G111" s="58"/>
      <c r="H111" s="58"/>
    </row>
  </sheetData>
  <dataConsolidate/>
  <mergeCells count="15">
    <mergeCell ref="A95:K95"/>
    <mergeCell ref="A97:A98"/>
    <mergeCell ref="B97:B98"/>
    <mergeCell ref="D97:F97"/>
    <mergeCell ref="G97:J97"/>
    <mergeCell ref="K97:L97"/>
    <mergeCell ref="J87:J88"/>
    <mergeCell ref="I6:I7"/>
    <mergeCell ref="F1:G1"/>
    <mergeCell ref="H6:H7"/>
    <mergeCell ref="A6:A7"/>
    <mergeCell ref="B6:B7"/>
    <mergeCell ref="B2:K2"/>
    <mergeCell ref="F4:K4"/>
    <mergeCell ref="B3:G3"/>
  </mergeCells>
  <printOptions horizontalCentered="1"/>
  <pageMargins left="0.23622047244094491" right="0.23622047244094491" top="0.35433070866141736" bottom="0.55118110236220474" header="0" footer="0.3937007874015748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1"/>
  <sheetViews>
    <sheetView tabSelected="1" workbookViewId="0">
      <selection activeCell="I116" sqref="I116"/>
    </sheetView>
  </sheetViews>
  <sheetFormatPr defaultRowHeight="15" x14ac:dyDescent="0.25"/>
  <cols>
    <col min="1" max="1" width="5.7109375" customWidth="1"/>
    <col min="9" max="9" width="12" customWidth="1"/>
    <col min="10" max="10" width="11.85546875" customWidth="1"/>
  </cols>
  <sheetData>
    <row r="2" spans="2:7" x14ac:dyDescent="0.25">
      <c r="B2" t="s">
        <v>163</v>
      </c>
    </row>
    <row r="3" spans="2:7" ht="1.5" customHeight="1" x14ac:dyDescent="0.25">
      <c r="B3" s="52" t="s">
        <v>162</v>
      </c>
      <c r="C3" s="52"/>
      <c r="D3" s="52"/>
      <c r="E3" s="52"/>
      <c r="F3" s="52"/>
      <c r="G3" s="52"/>
    </row>
    <row r="4" spans="2:7" x14ac:dyDescent="0.25">
      <c r="F4" t="s">
        <v>164</v>
      </c>
    </row>
    <row r="5" spans="2:7" ht="15" customHeight="1" x14ac:dyDescent="0.25"/>
    <row r="31" ht="68.25" customHeight="1" x14ac:dyDescent="0.25"/>
    <row r="67" ht="20.25" customHeight="1" x14ac:dyDescent="0.25"/>
    <row r="94" hidden="1" x14ac:dyDescent="0.25"/>
    <row r="108" spans="6:8" ht="15.75" x14ac:dyDescent="0.25">
      <c r="F108" s="59"/>
      <c r="G108" s="59"/>
      <c r="H108" s="59"/>
    </row>
    <row r="109" spans="6:8" ht="15.75" x14ac:dyDescent="0.25">
      <c r="F109" s="59"/>
      <c r="G109" s="59" t="s">
        <v>165</v>
      </c>
      <c r="H109" s="59"/>
    </row>
    <row r="110" spans="6:8" ht="15.75" x14ac:dyDescent="0.25">
      <c r="F110" s="59"/>
      <c r="G110" s="59" t="s">
        <v>166</v>
      </c>
      <c r="H110" s="59"/>
    </row>
    <row r="111" spans="6:8" ht="15.75" x14ac:dyDescent="0.25">
      <c r="F111" s="59"/>
      <c r="G111" s="59"/>
      <c r="H111" s="59"/>
    </row>
  </sheetData>
  <mergeCells count="1">
    <mergeCell ref="B3:G3"/>
  </mergeCells>
  <printOptions horizontalCentered="1"/>
  <pageMargins left="0.23622047244094491" right="0.23622047244094491" top="0.35433070866141736" bottom="0.55118110236220474" header="0" footer="0.3937007874015748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ANEXA 3</vt:lpstr>
      <vt:lpstr>OBS STRAZI LIPSA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2023-07-26T11:28:12Z</dcterms:modified>
</cp:coreProperties>
</file>